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08"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<sst xmlns="http://schemas.openxmlformats.org/spreadsheetml/2006/main" count="4927" uniqueCount="2987">
  <si>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</si>
  <si>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</si>
  <si>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</si>
  <si>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</si>
  <si>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</si>
  <si>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</si>
  <si>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</si>
  <si>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</si>
  <si>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</si>
  <si>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</si>
  <si>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</si>
  <si>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</si>
  <si>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</si>
  <si>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</si>
  <si>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</si>
  <si>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</si>
  <si>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</si>
  <si>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</si>
  <si>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</si>
  <si>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</si>
  <si>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</si>
  <si>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</si>
  <si>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</si>
  <si>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</si>
  <si>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</si>
  <si>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</si>
  <si>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</si>
  <si>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</si>
  <si>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</si>
  <si>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</si>
  <si>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</si>
  <si>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</si>
  <si>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</si>
  <si>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</si>
  <si>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</si>
  <si>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</si>
  <si>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</si>
  <si>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</si>
  <si>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</si>
  <si>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</si>
  <si>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</si>
  <si>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</si>
  <si>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</si>
  <si>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</si>
  <si>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</si>
  <si>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</si>
  <si>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</si>
  <si>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</si>
  <si>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</si>
  <si>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</si>
  <si>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</si>
  <si>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</si>
  <si>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</si>
  <si>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</si>
  <si>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</si>
  <si>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</si>
  <si>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</si>
  <si>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</si>
  <si>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</si>
  <si>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</si>
  <si>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</si>
  <si>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</si>
  <si>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</si>
  <si>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</si>
  <si>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</si>
  <si>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</si>
  <si>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</si>
  <si>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</si>
  <si>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</si>
  <si>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</si>
  <si>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</si>
  <si>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</si>
  <si>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</si>
  <si>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</si>
  <si>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</si>
  <si>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</si>
  <si>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</si>
  <si>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</si>
  <si>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</si>
  <si>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</si>
  <si>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</si>
  <si>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</si>
  <si>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</si>
  <si>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</si>
  <si>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</si>
  <si>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</si>
  <si>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</si>
  <si>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</si>
  <si>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</si>
  <si>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</si>
  <si>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</si>
  <si>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</si>
  <si>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</si>
  <si>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</si>
  <si>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</si>
  <si>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</si>
  <si>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</si>
  <si>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</si>
  <si>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</si>
  <si>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</si>
  <si>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</si>
  <si>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</si>
  <si>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</si>
  <si>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</si>
  <si>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</si>
  <si>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</si>
  <si>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</si>
  <si>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</si>
  <si>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</si>
  <si>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</si>
  <si>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</si>
  <si>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</si>
  <si>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</si>
  <si>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</si>
  <si>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</si>
  <si>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</si>
  <si>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</si>
  <si>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</si>
  <si>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</si>
  <si>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</si>
  <si>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</si>
  <si>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</si>
  <si>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</si>
  <si>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</si>
  <si>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</si>
  <si>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</si>
  <si>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</si>
  <si>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</si>
  <si>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</si>
  <si>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</si>
  <si>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</si>
  <si>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</si>
  <si>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</si>
  <si>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</si>
  <si>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</si>
  <si>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</si>
  <si>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</si>
  <si>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</si>
  <si>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</si>
  <si>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</si>
  <si>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</si>
  <si>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</si>
  <si>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</si>
  <si>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</si>
  <si>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</si>
  <si>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</si>
  <si>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</si>
  <si>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</si>
  <si>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</si>
  <si>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</si>
  <si>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</si>
  <si>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</si>
  <si>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</si>
  <si>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</si>
  <si>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</si>
  <si>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</si>
  <si>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</si>
  <si>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</si>
  <si>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</si>
  <si>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</si>
  <si>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</si>
  <si>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</si>
  <si>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</si>
  <si>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</si>
  <si>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</si>
  <si>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</si>
  <si>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</si>
  <si>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</si>
  <si>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</si>
  <si>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</si>
  <si>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</si>
  <si>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</si>
  <si>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</si>
  <si>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</si>
  <si>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</si>
  <si>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</si>
  <si>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</si>
  <si>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</si>
  <si>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</si>
  <si>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</si>
  <si>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</si>
  <si>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</si>
  <si>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</si>
  <si>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</si>
  <si>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</si>
  <si>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</si>
  <si>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</si>
  <si>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</si>
  <si>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</si>
  <si>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</si>
  <si>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</si>
  <si>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</si>
  <si>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</si>
  <si>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</si>
  <si>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</si>
  <si>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</si>
  <si>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</si>
  <si>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</si>
  <si>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</si>
  <si>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</si>
  <si>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</si>
  <si>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</si>
  <si>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</si>
  <si>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</si>
  <si>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</si>
  <si>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</si>
  <si>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</si>
  <si>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</si>
  <si>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</si>
  <si>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</si>
  <si>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</si>
  <si>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</si>
  <si>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</si>
  <si>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</si>
  <si>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</si>
  <si>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</si>
  <si>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</si>
  <si>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</si>
  <si>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</si>
  <si>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</si>
  <si>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</si>
  <si>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</si>
  <si>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</si>
  <si>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</si>
  <si>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</si>
  <si>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</si>
  <si>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</si>
  <si>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</si>
  <si>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</si>
  <si>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</si>
  <si>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</si>
  <si>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</si>
  <si>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</si>
  <si>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</si>
  <si>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</si>
  <si>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</si>
  <si>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</si>
  <si>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</si>
  <si>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</si>
  <si>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</si>
  <si>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</si>
  <si>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</si>
  <si>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</si>
  <si>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</si>
  <si>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</si>
  <si>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</si>
  <si>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</si>
  <si>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</si>
  <si>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</si>
  <si>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</si>
  <si>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</si>
  <si>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</si>
  <si>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</si>
  <si>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</si>
  <si>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</si>
  <si>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</si>
  <si>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</si>
  <si>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</si>
  <si>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</si>
  <si>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</si>
  <si>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</si>
  <si>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</si>
  <si>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</si>
  <si>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</si>
  <si>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</si>
  <si>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</si>
  <si>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</si>
  <si>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</si>
  <si>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</si>
  <si>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</si>
  <si>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</si>
  <si>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</si>
  <si>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</si>
  <si>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</si>
  <si>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</si>
  <si>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</si>
  <si>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</si>
  <si>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</si>
  <si>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</si>
  <si>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</si>
  <si>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</si>
  <si>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</si>
  <si>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</si>
  <si>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</si>
  <si>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</si>
  <si>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</si>
  <si>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</si>
  <si>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</si>
  <si>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</si>
  <si>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</si>
  <si>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</si>
  <si>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</si>
  <si>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</si>
  <si>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</si>
  <si>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</si>
  <si>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</si>
  <si>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</si>
  <si>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</si>
  <si>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</si>
  <si>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</si>
  <si>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</si>
  <si>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</si>
  <si>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</si>
  <si>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</si>
  <si>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</si>
  <si>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</si>
  <si>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</si>
  <si>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</si>
  <si>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</si>
  <si>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</si>
  <si>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</si>
  <si>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</si>
  <si>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</si>
  <si>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</si>
  <si>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</si>
  <si>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</si>
  <si>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</si>
  <si>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</si>
  <si>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</si>
  <si>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</si>
  <si>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</si>
  <si>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</si>
  <si>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</si>
  <si>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</si>
  <si>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</si>
  <si>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</si>
  <si>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</si>
  <si>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</si>
  <si>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</si>
  <si>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</si>
  <si>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</si>
  <si>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</si>
  <si>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</si>
  <si>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</si>
  <si>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</si>
  <si>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</si>
  <si>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</si>
  <si>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</si>
  <si>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</si>
  <si>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</si>
  <si>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</si>
  <si>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</si>
  <si>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</si>
  <si>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</si>
  <si>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</si>
  <si>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</si>
  <si>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</si>
  <si>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</si>
  <si>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</si>
  <si>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</si>
  <si>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</si>
  <si>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</si>
  <si>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</si>
  <si>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</si>
  <si>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</si>
  <si>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</si>
  <si>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</si>
  <si>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</si>
  <si>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</si>
  <si>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</si>
  <si>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</si>
  <si>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</si>
  <si>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</si>
  <si>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</si>
  <si>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</si>
  <si>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</si>
  <si>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</si>
  <si>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</si>
  <si>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</si>
  <si>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</si>
  <si>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</si>
  <si>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</si>
  <si>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</si>
  <si>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</si>
  <si>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</si>
  <si>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</si>
  <si>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</si>
  <si>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</si>
  <si>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</si>
  <si>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</si>
  <si>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</si>
  <si>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</si>
  <si>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</si>
  <si>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</si>
  <si>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</si>
  <si>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</si>
  <si>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</si>
  <si>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</si>
  <si>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</si>
  <si>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</si>
  <si>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</si>
  <si>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</si>
  <si>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</si>
  <si>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</si>
  <si>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</si>
  <si>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</si>
  <si>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</si>
  <si>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</si>
  <si>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</si>
  <si>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</si>
  <si>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</si>
  <si>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</si>
  <si>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</si>
  <si>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</si>
  <si>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</si>
  <si>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</si>
  <si>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</si>
  <si>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</si>
  <si>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</si>
  <si>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</si>
  <si>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</si>
  <si>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</si>
  <si>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</si>
  <si>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</si>
  <si>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</si>
  <si>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</si>
  <si>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</si>
  <si>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</si>
  <si>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</si>
  <si>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</si>
  <si>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</si>
  <si>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</si>
  <si>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</si>
  <si>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</si>
  <si>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</si>
  <si>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</si>
  <si>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</si>
  <si>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</si>
  <si>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</si>
  <si>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</si>
  <si>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</si>
  <si>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</si>
  <si>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</si>
  <si>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</si>
  <si>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</si>
  <si>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</si>
  <si>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</si>
  <si>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</si>
  <si>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</si>
  <si>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</si>
  <si>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</si>
  <si>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</si>
  <si>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</si>
  <si>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</si>
  <si>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</si>
  <si>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</si>
  <si>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</si>
  <si>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</si>
  <si>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</si>
  <si>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</si>
  <si>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</si>
  <si>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</si>
  <si>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</si>
  <si>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</si>
  <si>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</si>
  <si>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</si>
  <si>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</si>
  <si>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</si>
  <si>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</si>
  <si>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</si>
  <si>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</si>
  <si>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</si>
  <si>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</si>
  <si>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</si>
  <si>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</si>
  <si>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</si>
  <si>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</si>
  <si>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</si>
  <si>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</si>
  <si>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</si>
  <si>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</si>
  <si>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</si>
  <si>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</si>
  <si>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</si>
  <si>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</si>
  <si>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</si>
  <si>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</si>
  <si>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</si>
  <si>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</si>
  <si>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</si>
  <si>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</si>
  <si>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</si>
  <si>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</si>
  <si>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</si>
  <si>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</si>
  <si>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</si>
  <si>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</si>
  <si>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</si>
  <si>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</si>
  <si>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</si>
  <si>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</si>
  <si>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</si>
  <si>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</si>
  <si>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</si>
  <si>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</si>
  <si>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</si>
  <si>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</si>
  <si>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</si>
  <si>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</si>
  <si>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</si>
  <si>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</si>
  <si>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</si>
  <si>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</si>
  <si>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</si>
  <si>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</si>
  <si>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</si>
  <si>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</si>
  <si>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</si>
  <si>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</si>
  <si>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</si>
  <si>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</si>
  <si>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</si>
  <si>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</si>
  <si>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</si>
  <si>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</si>
  <si>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</si>
  <si>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</si>
  <si>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</si>
  <si>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</si>
  <si>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</si>
  <si>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</si>
  <si>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</si>
  <si>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</si>
  <si>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</si>
  <si>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</si>
  <si>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</si>
  <si>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</si>
  <si>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</si>
  <si>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</si>
  <si>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</si>
  <si>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</si>
  <si>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</si>
  <si>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</si>
  <si>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</si>
  <si>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</si>
  <si>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</si>
  <si>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</si>
  <si>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</si>
  <si>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</si>
  <si>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</si>
  <si>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</si>
  <si>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</si>
  <si>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</si>
  <si>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</si>
  <si>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</si>
  <si>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</si>
  <si>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</si>
  <si>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</si>
  <si>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</si>
  <si>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</si>
  <si>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</si>
  <si>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</si>
  <si>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</si>
  <si>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</si>
  <si>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</si>
  <si>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</si>
  <si>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</si>
  <si>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</si>
  <si>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</si>
  <si>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</si>
  <si>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</si>
  <si>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</si>
  <si>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</si>
  <si>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</si>
  <si>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</si>
  <si>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</si>
  <si>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</si>
  <si>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</si>
  <si>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</si>
  <si>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</si>
  <si>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</si>
  <si>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</si>
  <si>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</si>
  <si>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</si>
  <si>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</si>
  <si>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</si>
  <si>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</si>
  <si>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</si>
  <si>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</si>
  <si>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</si>
  <si>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</si>
  <si>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</si>
  <si>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</si>
  <si>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</si>
  <si>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</si>
  <si>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</si>
  <si>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</si>
  <si>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</si>
  <si>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</si>
  <si>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</si>
  <si>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</si>
  <si>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</si>
  <si>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</si>
  <si>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</si>
  <si>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</si>
  <si>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</si>
  <si>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</si>
  <si>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</si>
  <si>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</si>
  <si>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</si>
  <si>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</si>
  <si>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</si>
  <si>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</si>
  <si>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</si>
  <si>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</si>
  <si>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</si>
  <si>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</si>
  <si>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</si>
  <si>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</si>
  <si>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</si>
  <si>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</si>
  <si>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</si>
  <si>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</si>
  <si>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</si>
  <si>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</si>
  <si>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</si>
  <si>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</si>
  <si>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</si>
  <si>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</si>
  <si>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</si>
  <si>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</si>
  <si>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</si>
  <si>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</si>
  <si>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</si>
  <si>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</si>
  <si>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</si>
  <si>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</si>
  <si>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</si>
  <si>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</si>
  <si>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</si>
  <si>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</si>
  <si>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</si>
  <si>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</si>
  <si>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</si>
  <si>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</si>
  <si>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</si>
  <si>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</si>
  <si>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</si>
  <si>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</si>
  <si>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</si>
  <si>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</si>
  <si>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</si>
  <si>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</si>
  <si>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</si>
  <si>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</si>
  <si>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</si>
  <si>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</si>
  <si>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</si>
  <si>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</si>
  <si>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</si>
  <si>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</si>
  <si>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</si>
  <si>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</si>
  <si>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</si>
  <si>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</si>
  <si>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</si>
  <si>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</si>
  <si>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</si>
  <si>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</si>
  <si>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</si>
  <si>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</si>
  <si>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</si>
  <si>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</si>
  <si>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</si>
  <si>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</si>
  <si>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</si>
  <si>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</si>
  <si>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</si>
  <si>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</si>
  <si>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</si>
  <si>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</si>
  <si>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</si>
  <si>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</si>
  <si>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</si>
  <si>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</si>
  <si>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</si>
  <si>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</si>
  <si>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</si>
  <si>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</si>
  <si>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</si>
  <si>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</si>
  <si>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</si>
  <si>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</si>
  <si>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</si>
  <si>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</si>
  <si>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</si>
  <si>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</si>
  <si>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</si>
  <si>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</si>
  <si>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</si>
  <si>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</si>
  <si>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</si>
  <si>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</si>
  <si>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</si>
  <si>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</si>
  <si>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</si>
  <si>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</si>
  <si>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</si>
  <si>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</si>
  <si>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</si>
  <si>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</si>
  <si>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</si>
  <si>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</si>
  <si>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</si>
  <si>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</si>
  <si>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</si>
  <si>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</si>
  <si>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</si>
  <si>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</si>
  <si>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</si>
  <si>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</si>
  <si>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</si>
  <si>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</si>
  <si>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</si>
  <si>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</si>
  <si>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</si>
  <si>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</si>
  <si>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</si>
  <si>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</si>
  <si>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</si>
  <si>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</si>
  <si>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</si>
  <si>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</si>
  <si>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</si>
  <si>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</si>
  <si>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</si>
  <si>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</si>
  <si>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</si>
  <si>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</si>
  <si>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</si>
  <si>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</si>
  <si>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</si>
  <si>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</si>
  <si>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</si>
  <si>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</si>
  <si>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</si>
  <si>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</si>
  <si>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</si>
  <si>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</si>
  <si>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</si>
  <si>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</si>
  <si>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</si>
  <si>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</si>
  <si>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</si>
  <si>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</si>
  <si>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</si>
  <si>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</si>
  <si>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</si>
  <si>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</si>
  <si>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</si>
  <si>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</si>
  <si>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</si>
  <si>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</si>
  <si>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</si>
  <si>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</si>
  <si>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</si>
  <si>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</si>
  <si>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</si>
  <si>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</si>
  <si>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</si>
  <si>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</si>
  <si>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</si>
  <si>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</si>
  <si>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</si>
  <si>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</si>
  <si>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</si>
  <si>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</si>
  <si>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</si>
  <si>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</si>
  <si>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</si>
  <si>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</si>
  <si>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</si>
  <si>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</si>
  <si>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</si>
  <si>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</si>
  <si>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</si>
  <si>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</si>
  <si>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</si>
  <si>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</si>
  <si>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</si>
  <si>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</si>
  <si>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</si>
  <si>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</si>
  <si>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</si>
  <si>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</si>
  <si>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</si>
  <si>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</si>
  <si>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</si>
  <si>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</si>
  <si>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</si>
  <si>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</si>
  <si>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</si>
  <si>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</si>
  <si>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</si>
  <si>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</si>
  <si>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</si>
  <si>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</si>
  <si>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</si>
  <si>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</si>
  <si>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</si>
  <si>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</si>
  <si>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</si>
  <si>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</si>
  <si>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</si>
  <si>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</si>
  <si>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</si>
  <si>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</si>
  <si>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</si>
  <si>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</si>
  <si>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</si>
  <si>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</si>
  <si>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</si>
  <si>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</si>
  <si>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</si>
  <si>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</si>
  <si>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</si>
  <si>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</si>
  <si>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</si>
  <si>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</si>
  <si>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</si>
  <si>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</si>
  <si>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</si>
  <si>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</si>
  <si>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</si>
  <si>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</si>
  <si>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</si>
  <si>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</si>
  <si>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</si>
  <si>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</si>
  <si>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</si>
  <si>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</si>
  <si>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</si>
  <si>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</si>
  <si>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</si>
  <si>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</si>
  <si>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</si>
  <si>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</si>
  <si>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</si>
  <si>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</si>
  <si>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</si>
  <si>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</si>
  <si>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</si>
  <si>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</si>
  <si>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</si>
  <si>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</si>
  <si>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</si>
  <si>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</si>
  <si>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</si>
  <si>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</si>
  <si>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</si>
  <si>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</si>
  <si>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</si>
  <si>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</si>
  <si>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</si>
  <si>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</si>
  <si>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</si>
  <si>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</si>
  <si>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</si>
  <si>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</si>
  <si>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</si>
  <si>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</si>
  <si>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</si>
  <si>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</si>
  <si>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</si>
  <si>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</si>
  <si>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</si>
  <si>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</si>
  <si>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</si>
  <si>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</si>
  <si>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</si>
  <si>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</si>
  <si>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</si>
  <si>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</si>
  <si>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</si>
  <si>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</si>
  <si>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</si>
  <si>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</si>
  <si>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</si>
  <si>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</si>
  <si>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</si>
  <si>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</si>
  <si>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</si>
  <si>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</si>
  <si>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</si>
  <si>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</si>
  <si>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</si>
  <si>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</si>
  <si>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</si>
  <si>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</si>
  <si>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</si>
  <si>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</si>
  <si>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</si>
  <si>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</si>
  <si>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</si>
  <si>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</si>
  <si>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</si>
  <si>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</si>
  <si>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</si>
  <si>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</si>
  <si>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</si>
  <si>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</si>
  <si>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</si>
  <si>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</si>
  <si>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</si>
  <si>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</si>
  <si>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</si>
  <si>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</si>
  <si>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</si>
  <si>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</si>
  <si>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</si>
  <si>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</si>
  <si>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</si>
  <si>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</si>
  <si>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</si>
  <si>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</si>
  <si>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</si>
  <si>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</si>
  <si>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</si>
  <si>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</si>
  <si>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</si>
  <si>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</si>
  <si>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</si>
  <si>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</si>
  <si>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</si>
  <si>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</si>
  <si>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</si>
  <si>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</si>
  <si>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</si>
  <si>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</si>
  <si>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</si>
  <si>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</si>
  <si>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</si>
  <si>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</si>
  <si>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</si>
  <si>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</si>
  <si>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</si>
  <si>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</si>
  <si>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</si>
  <si>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</si>
  <si>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</si>
  <si>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</si>
  <si>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</si>
  <si>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</si>
  <si>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</si>
  <si>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</si>
  <si>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</si>
  <si>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</si>
  <si>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</si>
  <si>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</si>
  <si>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</si>
  <si>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</si>
  <si>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</si>
  <si>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</si>
  <si>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</si>
  <si>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</si>
  <si>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</si>
  <si>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</si>
  <si>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</si>
  <si>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</si>
  <si>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</si>
  <si>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</si>
  <si>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</si>
  <si>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</si>
  <si>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</si>
  <si>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</si>
  <si>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</si>
  <si>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</si>
  <si>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</si>
  <si>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</si>
  <si>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</si>
  <si>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</si>
  <si>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</si>
  <si>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</si>
  <si>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</si>
  <si>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</si>
  <si>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</si>
  <si>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</si>
  <si>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</si>
  <si>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</si>
  <si>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</si>
  <si>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</si>
  <si>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</si>
  <si>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</si>
  <si>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</si>
  <si>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</si>
  <si>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</si>
  <si>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</si>
  <si>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</si>
  <si>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</si>
  <si>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</si>
  <si>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</si>
  <si>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</si>
  <si>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</si>
  <si>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</si>
  <si>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</si>
  <si>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</si>
  <si>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</si>
  <si>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</si>
  <si>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</si>
  <si>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</si>
  <si>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</si>
  <si>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</si>
  <si>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</si>
  <si>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</si>
  <si>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</si>
  <si>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</si>
  <si>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</si>
  <si>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</si>
  <si>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</si>
  <si>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</si>
  <si>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</si>
  <si>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</si>
  <si>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</si>
  <si>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</si>
  <si>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</si>
  <si>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</si>
  <si>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</si>
  <si>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</si>
  <si>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</si>
  <si>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</si>
  <si>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</si>
  <si>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</si>
  <si>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</si>
  <si>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</si>
  <si>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</si>
  <si>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</si>
  <si>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</si>
  <si>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</si>
  <si>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</si>
  <si>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</si>
  <si>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</si>
  <si>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</si>
  <si>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</si>
  <si>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</si>
  <si>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</si>
  <si>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</si>
  <si>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</si>
  <si>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</si>
  <si>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</si>
  <si>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</si>
  <si>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</si>
  <si>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</si>
  <si>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</si>
  <si>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</si>
  <si>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</si>
  <si>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</si>
  <si>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</si>
  <si>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</si>
  <si>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</si>
  <si>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</si>
  <si>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</si>
  <si>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</si>
  <si>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</si>
  <si>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</si>
  <si>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</si>
  <si>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</si>
  <si>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</si>
  <si>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</si>
  <si>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</si>
  <si>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</si>
  <si>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</si>
  <si>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</si>
  <si>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</si>
  <si>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</si>
  <si>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</si>
  <si>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</si>
  <si>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</si>
  <si>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</si>
  <si>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</si>
  <si>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</si>
  <si>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</si>
  <si>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</si>
  <si>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</si>
  <si>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</si>
  <si>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</si>
  <si>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</si>
  <si>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</si>
  <si>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</si>
  <si>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</si>
  <si>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</si>
  <si>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</si>
  <si>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</si>
  <si>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</si>
  <si>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</si>
  <si>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</si>
  <si>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</si>
  <si>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</si>
  <si>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</si>
  <si>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</si>
  <si>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</si>
  <si>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</si>
  <si>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</si>
  <si>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</si>
  <si>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</si>
  <si>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</si>
  <si>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</si>
  <si>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</si>
  <si>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</si>
  <si>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</si>
  <si>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</si>
  <si>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</si>
  <si>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</si>
  <si>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</si>
  <si>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</si>
  <si>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</si>
  <si>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</si>
  <si>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</si>
  <si>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</si>
  <si>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</si>
  <si>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</si>
  <si>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</si>
  <si>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</si>
  <si>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</si>
  <si>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</si>
  <si>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</si>
  <si>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</si>
  <si>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</si>
  <si>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</si>
  <si>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</si>
  <si>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</si>
  <si>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</si>
  <si>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</si>
  <si>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</si>
  <si>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</si>
  <si>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</si>
  <si>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</si>
  <si>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</si>
  <si>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</si>
  <si>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</si>
  <si>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</si>
  <si>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</si>
  <si>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</si>
  <si>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</si>
  <si>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</si>
  <si>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</si>
  <si>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</si>
  <si>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</si>
  <si>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</si>
  <si>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</si>
  <si>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</si>
  <si>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</si>
  <si>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</si>
  <si>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</si>
  <si>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</si>
  <si>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</si>
  <si>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</si>
  <si>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</si>
  <si>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</si>
  <si>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</si>
  <si>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</si>
  <si>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</si>
  <si>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</si>
  <si>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</si>
  <si>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</si>
  <si>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</si>
  <si>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</si>
  <si>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</si>
  <si>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</si>
  <si>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</si>
  <si>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</si>
  <si>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</si>
  <si>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</si>
  <si>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</si>
  <si>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</si>
  <si>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</si>
  <si>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</si>
  <si>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</si>
  <si>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</si>
  <si>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</si>
  <si>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</si>
  <si>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</si>
  <si>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</si>
  <si>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</si>
  <si>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</si>
  <si>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</si>
  <si>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</si>
  <si>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</si>
  <si>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</si>
  <si>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</si>
  <si>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</si>
  <si>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</si>
  <si>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</si>
  <si>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</si>
  <si>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</si>
  <si>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</si>
  <si>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</si>
  <si>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</si>
  <si>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</si>
  <si>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</si>
  <si>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</si>
  <si>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</si>
  <si>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</si>
  <si>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</si>
  <si>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</si>
  <si>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</si>
  <si>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</si>
  <si>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</si>
  <si>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</si>
  <si>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</si>
  <si>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</si>
  <si>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</si>
  <si>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</si>
  <si>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</si>
  <si>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</si>
  <si>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</si>
  <si>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</si>
  <si>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</si>
  <si>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</si>
  <si>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</si>
  <si>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</si>
  <si>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</si>
  <si>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</si>
  <si>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</si>
  <si>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</si>
  <si>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</si>
  <si>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</si>
  <si>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</si>
  <si>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</si>
  <si>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</si>
  <si>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</si>
  <si>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</si>
  <si>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</si>
  <si>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</si>
  <si>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</si>
  <si>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</si>
  <si>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</si>
  <si>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</si>
  <si>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</si>
  <si>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</si>
  <si>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</si>
  <si>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</si>
  <si>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</si>
  <si>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</si>
  <si>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</si>
  <si>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</si>
  <si>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</si>
  <si>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</si>
  <si>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</si>
  <si>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</si>
  <si>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</si>
  <si>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</si>
  <si>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</si>
  <si>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</si>
  <si>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</si>
  <si>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</si>
  <si>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</si>
  <si>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</si>
  <si>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</si>
  <si>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</si>
  <si>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</si>
  <si>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</si>
  <si>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</si>
  <si>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</si>
  <si>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</si>
  <si>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</si>
  <si>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</si>
  <si>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</si>
  <si>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</si>
  <si>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</si>
  <si>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</si>
  <si>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</si>
  <si>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</si>
  <si>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</si>
  <si>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</si>
  <si>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</si>
  <si>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</si>
  <si>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</si>
  <si>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</si>
  <si>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</si>
  <si>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</si>
  <si>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</si>
  <si>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</si>
  <si>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</si>
  <si>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</si>
  <si>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</si>
  <si>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</si>
  <si>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</si>
  <si>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</si>
  <si>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</si>
  <si>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</si>
  <si>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</si>
  <si>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</si>
  <si>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</si>
  <si>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</si>
  <si>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</si>
  <si>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</si>
  <si>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</si>
  <si>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</si>
  <si>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</si>
  <si>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</si>
  <si>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</si>
  <si>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</si>
  <si>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</si>
  <si>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</si>
  <si>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</si>
  <si>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</si>
  <si>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</si>
  <si>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</si>
  <si>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</si>
  <si>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</si>
  <si>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</si>
  <si>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</si>
  <si>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</si>
  <si>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</si>
  <si>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</si>
  <si>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</si>
  <si>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</si>
  <si>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</si>
  <si>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</si>
  <si>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</si>
  <si>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</si>
  <si>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</si>
  <si>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</si>
  <si>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</si>
  <si>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</si>
  <si>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</si>
  <si>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</si>
  <si>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</si>
  <si>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</si>
  <si>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</si>
  <si>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</si>
  <si>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</si>
  <si>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</si>
  <si>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</si>
  <si>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</si>
  <si>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</si>
  <si>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</si>
  <si>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</si>
  <si>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</si>
  <si>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</si>
  <si>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</si>
  <si>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</si>
  <si>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</si>
  <si>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</si>
  <si>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</si>
  <si>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</si>
  <si>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</si>
  <si>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</si>
  <si>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</si>
  <si>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</si>
  <si>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</si>
  <si>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</si>
  <si>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</si>
  <si>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</si>
  <si>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</si>
  <si>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</si>
  <si>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</si>
  <si>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</si>
  <si>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</si>
  <si>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</si>
  <si>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</si>
  <si>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</si>
  <si>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</si>
  <si>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</si>
  <si>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</si>
  <si>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</si>
  <si>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</si>
  <si>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</si>
  <si>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</si>
  <si>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</si>
  <si>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</si>
  <si>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</si>
  <si>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</si>
  <si>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</si>
  <si>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</si>
  <si>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</si>
  <si>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</si>
  <si>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</si>
  <si>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</si>
  <si>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</si>
  <si>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</si>
  <si>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</si>
  <si>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</si>
  <si>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</si>
  <si>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</si>
  <si>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</si>
  <si>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</si>
  <si>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</si>
  <si>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</si>
  <si>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</si>
  <si>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</si>
  <si>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</si>
  <si>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</si>
  <si>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</si>
  <si>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</si>
  <si>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</si>
  <si>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</si>
  <si>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</si>
  <si>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</si>
  <si>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</si>
  <si>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</si>
  <si>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</si>
  <si>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</si>
  <si>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</si>
  <si>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</si>
  <si>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</si>
  <si>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</si>
  <si>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</si>
  <si>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</si>
  <si>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</si>
  <si>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</si>
  <si>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</si>
  <si>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</si>
  <si>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</si>
  <si>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</si>
  <si>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</si>
  <si>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</si>
  <si>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</si>
  <si>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</si>
  <si>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</si>
  <si>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</si>
  <si>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</si>
  <si>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</si>
  <si>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</si>
  <si>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</si>
  <si>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</si>
  <si>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</si>
  <si>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</si>
  <si>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</si>
  <si>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</si>
  <si>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</si>
  <si>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</si>
  <si>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</si>
  <si>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</si>
  <si>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</si>
  <si>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</si>
  <si>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</si>
  <si>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</si>
  <si>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</si>
  <si>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</si>
  <si>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</si>
  <si>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</si>
  <si>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</si>
  <si>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</si>
  <si>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</si>
  <si>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</si>
  <si>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</si>
  <si>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</si>
  <si>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</si>
  <si>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</si>
  <si>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</si>
  <si>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</si>
  <si>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</si>
  <si>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</si>
  <si>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</si>
  <si>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</si>
  <si>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</si>
  <si>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</si>
  <si>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</si>
  <si>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</si>
  <si>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</si>
  <si>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</si>
  <si>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</si>
  <si>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</si>
  <si>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</si>
  <si>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</si>
  <si>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</si>
  <si>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</si>
  <si>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</si>
  <si>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</si>
  <si>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</si>
  <si>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</si>
  <si>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</si>
  <si>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</si>
  <si>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</si>
  <si>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</si>
  <si>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</si>
  <si>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</si>
  <si>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</si>
  <si>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</si>
  <si>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</si>
  <si>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</si>
  <si>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</si>
  <si>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</si>
  <si>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</si>
  <si>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</si>
  <si>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</si>
  <si>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</si>
  <si>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</si>
  <si>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</si>
  <si>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</si>
  <si>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</si>
  <si>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</si>
  <si>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</si>
  <si>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</si>
  <si>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</si>
  <si>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</si>
  <si>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</si>
  <si>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</si>
  <si>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</si>
  <si>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</si>
  <si>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</si>
  <si>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</si>
  <si>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</si>
  <si>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</si>
  <si>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</si>
  <si>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</si>
  <si>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</si>
  <si>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</si>
  <si>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</si>
  <si>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</si>
  <si>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</si>
  <si>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</si>
  <si>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</si>
  <si>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</si>
  <si>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</si>
  <si>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</si>
  <si>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</si>
  <si>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</si>
  <si>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</si>
  <si>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</si>
  <si>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</si>
  <si>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</si>
  <si>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</si>
  <si>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</si>
  <si>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</si>
  <si>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</si>
  <si>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</si>
  <si>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</si>
  <si>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</si>
  <si>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</si>
  <si>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</si>
  <si>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</si>
  <si>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</si>
  <si>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</si>
  <si>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</si>
  <si>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</si>
  <si>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</si>
  <si>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</si>
  <si>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</si>
  <si>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</si>
  <si>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</si>
  <si>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</si>
  <si>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</si>
  <si>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</si>
  <si>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</si>
  <si>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</si>
  <si>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</si>
  <si>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</si>
  <si>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</si>
  <si>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</si>
  <si>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</si>
  <si>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</si>
  <si>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</si>
  <si>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</si>
  <si>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</si>
  <si>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</si>
  <si>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</si>
  <si>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</si>
  <si>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</si>
  <si>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</si>
  <si>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</si>
  <si>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</si>
  <si>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</si>
  <si>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</si>
  <si>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</si>
  <si>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</si>
  <si>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</si>
  <si>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</si>
  <si>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</si>
  <si>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</si>
  <si>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</si>
  <si>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</si>
  <si>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</si>
  <si>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</si>
  <si>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</si>
  <si>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</si>
  <si>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</si>
  <si>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</si>
  <si>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</si>
  <si>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</si>
  <si>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</si>
  <si>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</si>
  <si>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</si>
  <si>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</si>
  <si>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</si>
  <si>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</si>
  <si>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</si>
  <si>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</si>
  <si>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</si>
  <si>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</si>
  <si>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</si>
  <si>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</si>
  <si>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</si>
  <si>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</si>
  <si>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</si>
  <si>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</si>
  <si>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</si>
  <si>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</si>
  <si>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</si>
  <si>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</si>
  <si>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</si>
  <si>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</si>
  <si>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</si>
  <si>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</si>
  <si>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</si>
  <si>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</si>
  <si>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</si>
  <si>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</si>
  <si>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</si>
  <si>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</si>
  <si>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</si>
  <si>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</si>
  <si>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</si>
  <si>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</si>
  <si>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</si>
  <si>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</si>
  <si>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</si>
  <si>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</si>
  <si>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</si>
  <si>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</si>
  <si>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</si>
  <si>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</si>
  <si>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</si>
  <si>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</si>
  <si>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</si>
  <si>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</si>
  <si>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</si>
  <si>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</si>
  <si>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</si>
  <si>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</si>
  <si>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</si>
  <si>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</si>
  <si>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</si>
  <si>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</si>
  <si>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</si>
  <si>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</si>
  <si>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</si>
  <si>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</si>
  <si>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</si>
  <si>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</si>
  <si>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</si>
  <si>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</si>
  <si>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</si>
  <si>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</si>
  <si>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</si>
  <si>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</si>
  <si>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</si>
  <si>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</si>
  <si>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</si>
  <si>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</si>
  <si>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</si>
  <si>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</si>
  <si>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</si>
  <si>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</si>
  <si>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</si>
  <si>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</si>
  <si>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</si>
  <si>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</si>
  <si>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</si>
  <si>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</si>
  <si>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</si>
  <si>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</si>
  <si>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</si>
  <si>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</si>
  <si>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</si>
  <si>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</si>
  <si>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</si>
  <si>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</si>
  <si>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</si>
  <si>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</si>
  <si>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</si>
  <si>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</si>
  <si>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</si>
  <si>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</si>
  <si>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</si>
  <si>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</si>
  <si>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</si>
  <si>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</si>
  <si>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</si>
  <si>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</si>
  <si>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</si>
  <si>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</si>
  <si>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</si>
  <si>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</si>
  <si>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</si>
  <si>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</si>
  <si>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</si>
  <si>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</si>
  <si>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</si>
  <si>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</si>
  <si>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</si>
  <si>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</si>
  <si>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</si>
  <si>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</si>
  <si>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</si>
  <si>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</si>
  <si>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</si>
  <si>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</si>
  <si>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</si>
  <si>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</si>
  <si>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</si>
  <si>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</si>
  <si>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</si>
  <si>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</si>
  <si>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</si>
  <si>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</si>
  <si>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</si>
  <si>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</si>
  <si>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</si>
  <si>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</si>
  <si>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</si>
  <si>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</si>
  <si>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</si>
  <si>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</si>
  <si>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</si>
  <si>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</si>
  <si>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</si>
  <si>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</si>
  <si>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</si>
  <si>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</si>
  <si>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</si>
  <si>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</si>
  <si>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</si>
  <si>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</si>
  <si>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</si>
  <si>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</si>
  <si>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</si>
  <si>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</si>
  <si>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</si>
  <si>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</si>
  <si>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</si>
  <si>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</si>
  <si>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</si>
  <si>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</si>
  <si>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</si>
  <si>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</si>
  <si>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</si>
  <si>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</si>
  <si>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</si>
  <si>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</si>
  <si>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</si>
  <si>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</si>
  <si>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</si>
  <si>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</si>
  <si>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</si>
  <si>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</si>
  <si>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</si>
  <si>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</si>
  <si>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</si>
  <si>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</si>
  <si>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</si>
  <si>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</si>
  <si>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</si>
  <si>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</si>
  <si>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</si>
  <si>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</si>
  <si>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</si>
  <si>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</si>
  <si>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</si>
  <si>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</si>
  <si>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</si>
  <si>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</si>
  <si>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</si>
  <si>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</si>
  <si>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</si>
  <si>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</si>
  <si>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</si>
  <si>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</si>
  <si>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</si>
  <si>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</si>
  <si>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</si>
  <si>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</si>
  <si>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</si>
  <si>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</si>
  <si>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</si>
  <si>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</si>
  <si>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</si>
  <si>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</si>
  <si>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</si>
  <si>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</si>
  <si>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</si>
  <si>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</si>
  <si>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</si>
  <si>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</si>
  <si>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</si>
  <si>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</si>
  <si>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</si>
  <si>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</si>
  <si>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</si>
  <si>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</si>
  <si>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</si>
  <si>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</si>
  <si>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</si>
  <si>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</si>
  <si>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</si>
  <si>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</si>
  <si>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</si>
  <si>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</si>
  <si>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</si>
  <si>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</si>
  <si>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</si>
  <si>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</si>
  <si>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</si>
  <si>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</si>
  <si>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</si>
  <si>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</si>
  <si>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</si>
  <si>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</si>
  <si>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</si>
  <si>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</si>
  <si>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</si>
  <si>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</si>
  <si>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</si>
  <si>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</si>
  <si>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</si>
  <si>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</si>
  <si>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</si>
  <si>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</si>
  <si>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</si>
  <si>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</si>
  <si>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</si>
  <si>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</si>
  <si>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</si>
  <si>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</si>
  <si>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</si>
  <si>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</si>
  <si>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</si>
  <si>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</si>
  <si>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</si>
  <si>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</si>
  <si>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</si>
  <si>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</si>
  <si>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</si>
  <si>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</si>
  <si>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</si>
  <si>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</si>
  <si>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</si>
  <si>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</si>
  <si>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</si>
  <si>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</si>
  <si>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</si>
  <si>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</si>
  <si>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</si>
  <si>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</si>
  <si>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</si>
  <si>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</si>
  <si>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</si>
  <si>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</si>
  <si>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</si>
  <si>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</si>
  <si>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</si>
  <si>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</si>
  <si>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</si>
  <si>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</si>
  <si>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</si>
  <si>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</si>
  <si>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</si>
  <si>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</si>
  <si>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</si>
  <si>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</si>
  <si>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</si>
  <si>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</si>
  <si>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</si>
  <si>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</si>
  <si>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</si>
  <si>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</si>
  <si>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</si>
  <si>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</si>
  <si>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</si>
  <si>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</si>
  <si>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</si>
  <si>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</si>
  <si>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</si>
  <si>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</si>
  <si>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</si>
  <si>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</si>
  <si>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</si>
  <si>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</si>
  <si>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</si>
  <si>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</si>
  <si>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</si>
  <si>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</si>
  <si>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</si>
  <si>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</si>
  <si>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</si>
  <si>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</si>
  <si>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</si>
  <si>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</si>
  <si>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</si>
  <si>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</si>
  <si>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</si>
  <si>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</si>
  <si>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</si>
  <si>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</si>
  <si>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</si>
  <si>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</si>
  <si>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</si>
  <si>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</si>
  <si>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</si>
  <si>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</si>
  <si>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</si>
  <si>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</si>
  <si>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</si>
  <si>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</si>
  <si>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</si>
  <si>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</si>
  <si>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</si>
  <si>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</si>
  <si>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</si>
  <si>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</si>
  <si>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</si>
  <si>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</si>
  <si>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</si>
  <si>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</si>
  <si>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</si>
  <si>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</si>
  <si>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</si>
  <si>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</si>
  <si>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</si>
  <si>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</si>
  <si>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</si>
  <si>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</si>
  <si>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</si>
  <si>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</si>
  <si>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</si>
  <si>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</si>
  <si>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</si>
  <si>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</si>
  <si>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</si>
  <si>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</si>
  <si>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</si>
  <si>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</si>
  <si>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</si>
  <si>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</si>
  <si>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</si>
  <si>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</si>
  <si>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</si>
  <si>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</si>
  <si>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</si>
  <si>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</si>
  <si>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</si>
  <si>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</si>
  <si>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</si>
  <si>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</si>
  <si>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</si>
  <si>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</si>
  <si>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</si>
  <si>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</si>
  <si>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</si>
  <si>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</si>
  <si>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</si>
  <si>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</si>
  <si>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</si>
  <si>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</si>
  <si>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</si>
  <si>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</si>
  <si>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</si>
  <si>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</si>
  <si>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</si>
  <si>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</si>
  <si>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</si>
  <si>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</si>
  <si>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</si>
  <si>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</si>
  <si>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</si>
  <si>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</si>
  <si>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</si>
  <si>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</si>
  <si>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</si>
  <si>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</si>
  <si>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</si>
  <si>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</si>
  <si>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</si>
  <si>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</si>
  <si>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</si>
  <si>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</si>
  <si>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</si>
  <si>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</si>
  <si>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</si>
  <si>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</si>
  <si>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</si>
  <si>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</si>
  <si>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</si>
  <si>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</si>
  <si>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</si>
  <si>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</si>
  <si>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</si>
  <si>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</si>
  <si>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</si>
  <si>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</si>
  <si>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</si>
  <si>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</si>
  <si>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</si>
  <si>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</si>
  <si>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</si>
  <si>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</si>
  <si>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</si>
  <si>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</si>
  <si>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</si>
  <si>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</si>
  <si>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</si>
  <si>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</si>
  <si>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</si>
  <si>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</si>
  <si>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</si>
  <si>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</si>
  <si>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</si>
  <si>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</si>
  <si>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</si>
  <si>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</si>
  <si>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</si>
  <si>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</si>
  <si>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</si>
  <si>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</si>
  <si>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</si>
  <si>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</si>
  <si>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</si>
  <si>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</si>
  <si>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</si>
  <si>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</si>
  <si>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</si>
  <si>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</si>
  <si>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</si>
  <si>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</si>
  <si>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</si>
  <si>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</si>
  <si>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</si>
  <si>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</si>
  <si>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</si>
  <si>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</si>
  <si>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</si>
  <si>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</si>
  <si>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</si>
  <si>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</si>
  <si>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</si>
  <si>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</si>
  <si>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</si>
  <si>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</si>
  <si>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</si>
  <si>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</si>
  <si>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</si>
  <si>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</si>
  <si>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</si>
  <si>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</si>
  <si>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</si>
  <si>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</si>
  <si>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</si>
  <si>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</si>
  <si>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</si>
  <si>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</si>
  <si>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</si>
  <si>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</si>
  <si>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</si>
  <si>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</si>
  <si>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</si>
  <si>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</si>
  <si>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</si>
  <si>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</si>
  <si>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</si>
  <si>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</si>
  <si>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</si>
  <si>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</si>
  <si>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</si>
  <si>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</si>
  <si>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</si>
  <si>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</si>
  <si>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</si>
  <si>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</si>
  <si>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</si>
  <si>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</si>
  <si>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</si>
  <si>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</si>
  <si>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</si>
  <si>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</si>
  <si>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</si>
  <si>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</si>
  <si>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</si>
  <si>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</si>
  <si>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</si>
  <si>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</si>
  <si>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</si>
  <si>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</si>
  <si>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</si>
  <si>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</si>
  <si>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</si>
  <si>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</si>
  <si>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</si>
  <si>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</si>
  <si>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</si>
  <si>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</si>
  <si>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</si>
  <si>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</si>
  <si>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</si>
  <si>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</si>
  <si>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</si>
  <si>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</si>
  <si>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</si>
  <si>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</si>
  <si>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</si>
  <si>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</si>
  <si>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</si>
  <si>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</si>
  <si>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</si>
  <si>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</si>
  <si>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</si>
  <si>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</si>
  <si>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</si>
  <si>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</si>
  <si>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</si>
  <si>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</si>
  <si>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</si>
  <si>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</si>
  <si>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</si>
  <si>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</si>
  <si>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</si>
  <si>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</si>
  <si>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</si>
  <si>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</si>
  <si>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</si>
  <si>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</si>
  <si>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</si>
  <si>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</si>
  <si>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</si>
  <si>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</si>
  <si>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</si>
  <si>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</si>
  <si>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</si>
  <si>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</si>
  <si>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</si>
  <si>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</si>
  <si>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</si>
  <si>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</si>
  <si>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</si>
  <si>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</si>
  <si>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</si>
  <si>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</si>
  <si>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</si>
  <si>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</si>
  <si>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</si>
  <si>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</si>
  <si>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</si>
  <si>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</si>
  <si>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</si>
  <si>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</si>
  <si>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</si>
  <si>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</si>
  <si>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</si>
  <si>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</si>
  <si>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</si>
  <si>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</si>
  <si>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</si>
  <si>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</si>
  <si>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</si>
  <si>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</si>
  <si>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</si>
  <si>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</si>
  <si>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</si>
  <si>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</si>
  <si>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</si>
  <si>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</si>
  <si>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</si>
  <si>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</si>
  <si>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</si>
  <si>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</si>
  <si>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</si>
  <si>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</si>
  <si>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</si>
  <si>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</si>
  <si>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</si>
  <si>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</si>
  <si>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</si>
  <si>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</si>
  <si>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</si>
  <si>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</si>
  <si>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</si>
  <si>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</si>
  <si>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</si>
  <si>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</si>
  <si>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</si>
  <si>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</si>
  <si>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</si>
  <si>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</si>
  <si>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</si>
  <si>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</si>
  <si>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</si>
  <si>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</si>
  <si>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</si>
  <si>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</si>
  <si>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</si>
  <si>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</si>
  <si>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</si>
  <si>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</si>
  <si>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</si>
  <si>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</si>
  <si>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</si>
  <si>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</si>
  <si>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</si>
  <si>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</si>
  <si>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</si>
  <si>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</si>
  <si>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</si>
  <si>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</si>
  <si>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</si>
  <si>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</si>
  <si>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</si>
  <si>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</si>
  <si>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</si>
  <si>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</si>
  <si>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</si>
  <si>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</si>
  <si>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</si>
  <si>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</si>
  <si>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</si>
  <si>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</si>
  <si>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</si>
  <si>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</si>
  <si>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</si>
  <si>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</si>
  <si>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</si>
  <si>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</si>
  <si>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</si>
  <si>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</si>
  <si>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</si>
  <si>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</si>
  <si>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</si>
  <si>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</si>
  <si>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</si>
  <si>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</si>
  <si>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</si>
  <si>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</si>
  <si>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</si>
  <si>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</si>
  <si>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</si>
  <si>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</si>
  <si>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</si>
  <si>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</si>
  <si>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</si>
  <si>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</si>
  <si>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</si>
  <si>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</si>
  <si>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</si>
  <si>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</si>
  <si>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</si>
  <si>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</si>
  <si>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</si>
  <si>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</si>
  <si>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</si>
  <si>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</si>
  <si>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</si>
  <si>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</si>
  <si>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</si>
  <si>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</si>
  <si>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</si>
  <si>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</si>
  <si>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</si>
  <si>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</si>
  <si>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</si>
  <si>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</si>
  <si>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</si>
  <si>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</si>
  <si>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</si>
  <si>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</si>
  <si>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</si>
  <si>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</si>
  <si>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</si>
  <si>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</si>
  <si>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</si>
  <si>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</si>
  <si>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</si>
  <si>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</si>
  <si>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</si>
  <si>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</si>
  <si>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</si>
  <si>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</si>
  <si>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</si>
  <si>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</si>
  <si>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</si>
  <si>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</si>
  <si>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</si>
  <si>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</si>
  <si>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</si>
  <si>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</si>
  <si>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</si>
  <si>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</si>
  <si>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</si>
  <si>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</si>
  <si>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</si>
  <si>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</si>
  <si>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</si>
  <si>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</si>
  <si>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</si>
  <si>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</si>
  <si>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</si>
  <si>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</si>
  <si>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</si>
  <si>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</si>
  <si>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</si>
  <si>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</si>
  <si>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</si>
  <si>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</si>
  <si>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</si>
  <si>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</si>
  <si>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</si>
  <si>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</si>
  <si>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</si>
  <si>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</si>
  <si>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</si>
  <si>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</si>
  <si>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</si>
  <si>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</si>
  <si>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</si>
  <si>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</si>
  <si>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</si>
  <si>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</si>
  <si>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</si>
  <si>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</si>
  <si>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</si>
  <si>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</si>
  <si>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</si>
  <si>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</si>
  <si>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</si>
  <si>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</si>
  <si>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</si>
  <si>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</si>
  <si>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</si>
  <si>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</si>
  <si>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</si>
  <si>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</si>
  <si>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</si>
  <si>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</si>
  <si>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</si>
  <si>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</si>
  <si>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</si>
  <si>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</si>
  <si>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</si>
  <si>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</si>
  <si>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</si>
  <si>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</si>
  <si>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</si>
  <si>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</si>
  <si>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</si>
  <si>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</si>
  <si>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</si>
  <si>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</si>
  <si>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</si>
  <si>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</si>
  <si>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</si>
  <si>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</si>
  <si>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</si>
  <si>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</si>
  <si>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</si>
  <si>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</si>
  <si>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</si>
  <si>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</si>
  <si>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</si>
  <si>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</si>
  <si>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</si>
  <si>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</si>
  <si>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</si>
  <si>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</si>
  <si>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</si>
  <si>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</si>
  <si>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</si>
  <si>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</si>
  <si>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</si>
  <si>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</si>
  <si>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</si>
  <si>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</si>
  <si>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</si>
  <si>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</si>
  <si>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</si>
  <si>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</si>
  <si>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</si>
  <si>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</si>
  <si>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</si>
  <si>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</si>
  <si>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</si>
  <si>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</si>
  <si>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</si>
  <si>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</si>
  <si>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</si>
  <si>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</si>
  <si>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</si>
  <si>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</si>
  <si>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</si>
  <si>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</si>
  <si>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</si>
  <si>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</si>
  <si>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</si>
  <si>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</si>
  <si>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</si>
  <si>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</si>
  <si>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</si>
  <si>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</si>
  <si>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</si>
  <si>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</si>
  <si>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</si>
  <si>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</si>
  <si>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</si>
  <si>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</si>
  <si>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</si>
  <si>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</si>
  <si>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</si>
  <si>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</si>
  <si>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</si>
  <si>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</si>
  <si>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</si>
  <si>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</si>
  <si>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</si>
  <si>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</si>
  <si>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</si>
  <si>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</si>
  <si>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</si>
  <si>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</si>
  <si>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</si>
  <si>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</si>
  <si>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</si>
  <si>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</si>
  <si>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</si>
  <si>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</si>
  <si>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</si>
  <si>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</si>
  <si>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</si>
  <si>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</si>
  <si>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</si>
  <si>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</si>
  <si>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</si>
  <si>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</si>
  <si>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</si>
  <si>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</si>
  <si>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</si>
  <si>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</si>
  <si>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</si>
  <si>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</si>
  <si>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</si>
  <si>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</si>
  <si>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</si>
  <si>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</si>
  <si>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</si>
  <si>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</si>
  <si>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</si>
  <si>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</si>
  <si>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</si>
  <si>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</si>
  <si>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</si>
  <si>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</si>
  <si>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</si>
  <si>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</si>
  <si>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</si>
  <si>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</si>
  <si>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</si>
  <si>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</si>
  <si>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</si>
  <si>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</si>
  <si>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</si>
  <si>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</si>
  <si>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</si>
  <si>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</si>
  <si>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</si>
  <si>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</si>
  <si>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</si>
  <si>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</si>
  <si>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</si>
  <si>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</si>
  <si>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</si>
  <si>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</si>
  <si>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</si>
  <si>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</si>
  <si>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</si>
  <si>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</si>
  <si>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</si>
  <si>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</si>
  <si>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</si>
  <si>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</si>
  <si>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</si>
  <si>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</si>
  <si>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</si>
  <si>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</si>
  <si>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</si>
  <si>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</si>
  <si>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</si>
  <si>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</si>
  <si>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</si>
  <si>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</si>
  <si>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</si>
  <si>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</si>
  <si>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</si>
  <si>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</si>
  <si>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</si>
  <si>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</si>
  <si>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</si>
  <si>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</si>
  <si>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</si>
  <si>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</si>
  <si>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</si>
  <si>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</si>
  <si>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</si>
  <si>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</si>
  <si>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</si>
  <si>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</si>
  <si>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</si>
  <si>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</si>
  <si>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</si>
  <si>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</si>
  <si>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</si>
  <si>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</si>
  <si>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</si>
  <si>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</si>
  <si>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</si>
  <si>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</si>
  <si>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</si>
  <si>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</si>
  <si>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</si>
  <si>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</si>
  <si>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</si>
  <si>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</si>
  <si>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</si>
  <si>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</si>
  <si>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</si>
  <si>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</si>
  <si>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</si>
  <si>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</si>
  <si>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</si>
  <si>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</si>
  <si>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</si>
  <si>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</si>
  <si>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</si>
  <si>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</si>
  <si>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</si>
  <si>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</si>
  <si>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</si>
  <si>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</si>
  <si>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</si>
  <si>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</si>
  <si>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</si>
  <si>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</si>
  <si>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</si>
  <si>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</si>
  <si>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</si>
  <si>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</si>
  <si>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</si>
  <si>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</si>
  <si>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</si>
  <si>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</si>
  <si>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</si>
  <si>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</si>
  <si>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</si>
  <si>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</si>
  <si>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</si>
  <si>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</si>
  <si>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</si>
  <si>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</si>
  <si>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</si>
  <si>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</si>
  <si>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</si>
  <si>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</si>
  <si>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</si>
  <si>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</si>
  <si>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</si>
  <si>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</si>
  <si>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</si>
  <si>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</si>
  <si>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</si>
  <si>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</si>
  <si>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</si>
  <si>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</si>
  <si>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</si>
  <si>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</si>
  <si>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</si>
  <si>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</si>
  <si>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</si>
  <si>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</si>
  <si>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</si>
  <si>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</si>
  <si>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</si>
  <si>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</si>
  <si>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</si>
  <si>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</si>
  <si>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</si>
  <si>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</si>
  <si>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</si>
  <si>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</si>
  <si>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</si>
  <si>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</si>
  <si>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</si>
  <si>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</si>
  <si>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</si>
  <si>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</si>
  <si>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</si>
  <si>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</si>
  <si>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</si>
  <si>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</si>
  <si>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</si>
  <si>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</si>
  <si>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</si>
  <si>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</si>
  <si>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</si>
  <si>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</si>
  <si>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</si>
  <si>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</si>
  <si>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</si>
  <si>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</si>
  <si>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</si>
  <si>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</si>
  <si>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</si>
  <si>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</si>
  <si>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</si>
  <si>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</si>
  <si>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</si>
  <si>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</si>
  <si>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</si>
  <si>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</si>
  <si>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</si>
  <si>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</si>
  <si>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</si>
  <si>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</si>
  <si>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</si>
  <si>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</si>
  <si>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</si>
  <si>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</si>
  <si>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</si>
  <si>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</si>
  <si>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</si>
  <si>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</si>
  <si>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</si>
  <si>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</si>
  <si>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</si>
  <si>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</si>
  <si>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</si>
  <si>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</si>
  <si>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</si>
  <si>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</si>
  <si>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</si>
  <si>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</si>
  <si>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</si>
  <si>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</si>
  <si>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</si>
  <si>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</si>
  <si>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</si>
  <si>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</si>
  <si>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</si>
  <si>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</si>
  <si>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</si>
  <si>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</si>
  <si>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</si>
  <si>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</si>
  <si>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</si>
  <si>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</si>
  <si>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</si>
  <si>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</si>
  <si>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</si>
  <si>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</si>
  <si>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</si>
  <si>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</si>
  <si>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</si>
  <si>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</si>
  <si>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</si>
  <si>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</si>
  <si>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</si>
  <si>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</si>
  <si>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</si>
  <si>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</si>
  <si>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</si>
  <si>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</si>
  <si>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</si>
  <si>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</si>
  <si>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</si>
  <si>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</si>
  <si>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</si>
  <si>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</si>
  <si>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</si>
  <si>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</si>
  <si>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</si>
  <si>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</si>
  <si>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</si>
  <si>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</si>
  <si>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</si>
  <si>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</si>
  <si>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</si>
  <si>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</si>
  <si>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</si>
  <si>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</si>
  <si>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</si>
  <si>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</si>
  <si>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</si>
  <si>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</si>
  <si>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</si>
  <si>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</si>
  <si>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</si>
  <si>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</si>
  <si>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</si>
  <si>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</si>
  <si>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</si>
  <si>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</si>
  <si>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</si>
  <si>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</si>
  <si>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</si>
  <si>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</si>
  <si>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</si>
  <si>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</si>
  <si>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</si>
  <si>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</si>
  <si>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</si>
  <si>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</si>
  <si>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</si>
  <si>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</si>
  <si>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</si>
  <si>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</si>
  <si>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</si>
  <si>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</si>
  <si>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</si>
  <si>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</si>
  <si>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</si>
  <si>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</si>
  <si>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</si>
  <si>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</si>
  <si>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</si>
  <si>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</si>
  <si>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</si>
  <si>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</si>
  <si>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</si>
  <si>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</si>
  <si>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</si>
  <si>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</si>
  <si>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</si>
  <si>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</si>
  <si>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</si>
  <si>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</si>
  <si>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</si>
  <si>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</si>
  <si>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</si>
  <si>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</si>
  <si>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</si>
  <si>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</si>
  <si>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</si>
  <si>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</si>
  <si>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</si>
  <si>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</si>
  <si>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</si>
  <si>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</si>
  <si>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</si>
  <si>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</si>
  <si>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</si>
  <si>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</si>
  <si>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</si>
  <si>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</si>
  <si>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</si>
  <si>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</si>
  <si>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</si>
  <si>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</si>
  <si>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</si>
  <si>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</si>
  <si>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</si>
  <si>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</si>
  <si>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</si>
  <si>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</si>
  <si>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</si>
  <si>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</si>
  <si>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</si>
  <si>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</si>
  <si>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</si>
  <si>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</si>
  <si>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</si>
  <si>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</si>
  <si>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</si>
  <si>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</si>
  <si>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</si>
  <si>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</si>
  <si>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</si>
  <si>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</si>
  <si>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</si>
  <si>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</si>
  <si>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</si>
  <si>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</si>
  <si>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</si>
  <si>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</si>
  <si>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</si>
  <si>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</si>
  <si>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</si>
  <si>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</si>
  <si>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</si>
  <si>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</si>
  <si>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</si>
  <si>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</si>
  <si>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</si>
  <si>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</si>
  <si>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</si>
  <si>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</si>
  <si>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</si>
  <si>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</si>
  <si>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</si>
  <si>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</si>
  <si>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</si>
  <si>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</si>
  <si>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</si>
  <si>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</si>
  <si>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</si>
  <si>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</si>
  <si>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</si>
  <si>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</si>
  <si>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</si>
  <si>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</si>
  <si>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</si>
  <si>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</si>
  <si>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</si>
  <si>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</si>
  <si>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</si>
  <si>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</si>
  <si>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</si>
  <si>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</si>
  <si>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</si>
  <si>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</si>
  <si>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</si>
  <si>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</si>
  <si>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</si>
  <si>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</si>
  <si>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</si>
  <si>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</si>
  <si>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</si>
  <si>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</si>
  <si>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</si>
  <si>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</si>
  <si>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</si>
  <si>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</si>
  <si>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</si>
  <si>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</si>
  <si>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</si>
  <si>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</si>
  <si>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</si>
  <si>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</si>
  <si>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</si>
  <si>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</si>
  <si>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</si>
  <si>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</si>
  <si>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</si>
  <si>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</si>
  <si>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</si>
  <si>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</si>
  <si>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</si>
  <si>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</si>
  <si>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</si>
  <si>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</si>
  <si>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</si>
  <si>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</si>
  <si>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</si>
  <si>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</si>
  <si>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</si>
  <si>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</si>
  <si>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</si>
  <si>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</si>
  <si>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</si>
  <si>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</si>
  <si>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</si>
  <si>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</si>
  <si>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</si>
  <si>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</si>
  <si>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</si>
  <si>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</si>
  <si>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</si>
  <si>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</si>
  <si>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</si>
  <si>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</si>
  <si>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</si>
  <si>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</si>
  <si>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</si>
  <si>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</si>
  <si>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</si>
  <si>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</si>
  <si>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</si>
  <si>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</si>
  <si>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</si>
  <si>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</si>
  <si>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</si>
  <si>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</si>
  <si>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</si>
  <si>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</si>
  <si>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</si>
  <si>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</si>
  <si>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</si>
  <si>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</si>
  <si>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</si>
  <si>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</si>
  <si>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</si>
  <si>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</si>
  <si>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</si>
  <si>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</si>
  <si>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</si>
  <si>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</si>
  <si>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</si>
  <si>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</si>
  <si>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</si>
  <si>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</si>
  <si>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</si>
  <si>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</si>
  <si>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</si>
  <si>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</si>
  <si>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</si>
  <si>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</si>
  <si>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</si>
  <si>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</si>
  <si>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</si>
  <si>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</si>
  <si>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</si>
  <si>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</si>
  <si>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</si>
  <si>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</si>
  <si>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</si>
  <si>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</si>
  <si>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</si>
  <si>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</si>
  <si>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</si>
  <si>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</si>
  <si>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</si>
  <si>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</si>
  <si>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</si>
  <si>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</si>
  <si>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</si>
  <si>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</si>
  <si>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</si>
  <si>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</si>
  <si>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</si>
  <si>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</si>
  <si>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</si>
  <si>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</si>
  <si>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</si>
  <si>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</si>
  <si>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</si>
  <si>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</si>
  <si>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</si>
  <si>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</si>
  <si>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</si>
  <si>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</si>
  <si>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</si>
  <si>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</si>
  <si>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</si>
  <si>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</si>
  <si>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</si>
  <si>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</si>
  <si>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</si>
  <si>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</si>
  <si>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</si>
  <si>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</si>
  <si>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</si>
  <si>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</si>
  <si>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</si>
  <si>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</si>
  <si>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</si>
  <si>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</si>
  <si>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</si>
  <si>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</si>
  <si>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</si>
  <si>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</si>
  <si>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</si>
  <si>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</si>
  <si>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</si>
  <si>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</si>
  <si>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</si>
  <si>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</si>
  <si>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</si>
  <si>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</si>
  <si>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</si>
  <si>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</si>
  <si>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</si>
  <si>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</si>
  <si>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</si>
  <si>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</si>
  <si>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</si>
  <si>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</si>
  <si>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</si>
  <si>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</si>
  <si>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</si>
  <si>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</si>
  <si>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</si>
  <si>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</si>
  <si>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</si>
  <si>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</si>
  <si>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</si>
  <si>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</si>
  <si>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</si>
  <si>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</si>
  <si>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</si>
  <si>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</si>
  <si>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04149084</t>
  </si>
  <si>
    <t>040317760</t>
  </si>
  <si>
    <t>55232800223</t>
  </si>
  <si>
    <t>VODOOPSKRBA I ODVODNJA CRES LOŠINJ d.o.o.</t>
  </si>
  <si>
    <t>CRES</t>
  </si>
  <si>
    <t>TURION 20/A</t>
  </si>
  <si>
    <t>info@viocl.hr</t>
  </si>
  <si>
    <t>www.viocl.hr</t>
  </si>
  <si>
    <t>DA</t>
  </si>
  <si>
    <t>89015118914</t>
  </si>
  <si>
    <t xml:space="preserve">BUDIMIR ELIJANA </t>
  </si>
  <si>
    <t>++38551260564</t>
  </si>
  <si>
    <t>++385571415</t>
  </si>
  <si>
    <t>KRULJAC NEVEN</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</si>
</sst>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0" fillId="20" borderId="1" applyNumberFormat="0" applyFont="0" applyAlignment="0" applyProtection="0"/>
    <xf numFmtId="0" fontId="92" fillId="21" borderId="0" applyNumberFormat="0" applyBorder="0" applyAlignment="0" applyProtection="0"/>
    <xf numFmtId="0" fontId="4" fillId="0" borderId="0" applyNumberFormat="0" applyFill="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3" fillId="28" borderId="2" applyNumberFormat="0" applyAlignment="0" applyProtection="0"/>
    <xf numFmtId="0" fontId="94" fillId="28" borderId="3" applyNumberFormat="0" applyAlignment="0" applyProtection="0"/>
    <xf numFmtId="0" fontId="95" fillId="29" borderId="0" applyNumberFormat="0" applyBorder="0" applyAlignment="0" applyProtection="0"/>
    <xf numFmtId="0" fontId="96" fillId="0" borderId="0" applyNumberFormat="0" applyFill="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1" fillId="0" borderId="7" applyNumberFormat="0" applyFill="0" applyAlignment="0" applyProtection="0"/>
    <xf numFmtId="0" fontId="6" fillId="0" borderId="0" applyNumberFormat="0" applyFill="0" applyBorder="0" applyAlignment="0" applyProtection="0"/>
    <xf numFmtId="0" fontId="102" fillId="31" borderId="8"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0</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13045637.1</v>
      </c>
      <c r="I3" s="27">
        <f>ABS(ROUND(J3,0)-J3)+ABS(ROUND(K3,0)-K3)</f>
        <v>0</v>
      </c>
      <c r="J3" s="75">
        <f>Bilanca!K11</f>
        <v>203465283</v>
      </c>
      <c r="K3" s="76">
        <f>Bilanca!L11</f>
        <v>224408286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29168.4</v>
      </c>
      <c r="I4" s="77">
        <f>ABS(ROUND(J4,0)-J4)+ABS(ROUND(K4,0)-K4)</f>
        <v>0</v>
      </c>
      <c r="J4" s="75">
        <f>Bilanca!K12</f>
        <v>131218</v>
      </c>
      <c r="K4" s="76">
        <f>Bilanca!L12</f>
        <v>420531</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04149084</v>
      </c>
      <c r="C6" s="27"/>
      <c r="D6" s="27" t="s">
        <v>2272</v>
      </c>
      <c r="E6" s="27">
        <v>1</v>
      </c>
      <c r="F6" s="27">
        <f>Bilanca!I14</f>
        <v>5</v>
      </c>
      <c r="G6" s="27">
        <f>IF(Bilanca!J14=0,"",Bilanca!J14)</f>
      </c>
      <c r="H6" s="224">
        <f t="shared" si="1"/>
        <v>48614.00000000001</v>
      </c>
      <c r="I6" s="77">
        <f t="shared" si="2"/>
        <v>0</v>
      </c>
      <c r="J6" s="75">
        <f>Bilanca!K14</f>
        <v>131218</v>
      </c>
      <c r="K6" s="76">
        <f>Bilanca!L14</f>
        <v>420531</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040317760</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55232800223</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VODOOPSKRBA I ODVODNJA CRES LOŠINJ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51557</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CRES</v>
      </c>
      <c r="C11" s="27"/>
      <c r="D11" s="27" t="s">
        <v>2272</v>
      </c>
      <c r="E11" s="27">
        <v>1</v>
      </c>
      <c r="F11" s="27">
        <f>Bilanca!I19</f>
        <v>10</v>
      </c>
      <c r="G11" s="27">
        <f>IF(Bilanca!J19=0,"",Bilanca!J19)</f>
      </c>
      <c r="H11" s="224">
        <f t="shared" si="1"/>
        <v>65106945.5</v>
      </c>
      <c r="I11" s="27">
        <f t="shared" si="2"/>
        <v>0</v>
      </c>
      <c r="J11" s="75">
        <f>Bilanca!K19</f>
        <v>203236583</v>
      </c>
      <c r="K11" s="76">
        <f>Bilanca!L19</f>
        <v>223916436</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TURION 20/A</v>
      </c>
      <c r="C12" s="27"/>
      <c r="D12" s="27" t="s">
        <v>2272</v>
      </c>
      <c r="E12" s="27">
        <v>1</v>
      </c>
      <c r="F12" s="27">
        <f>Bilanca!I20</f>
        <v>11</v>
      </c>
      <c r="G12" s="27">
        <f>IF(Bilanca!J20=0,"",Bilanca!J20)</f>
      </c>
      <c r="H12" s="224">
        <f t="shared" si="1"/>
        <v>498076.9199999999</v>
      </c>
      <c r="I12" s="77">
        <f t="shared" si="2"/>
        <v>0</v>
      </c>
      <c r="J12" s="75">
        <f>Bilanca!K20</f>
        <v>1509324</v>
      </c>
      <c r="K12" s="76">
        <f>Bilanca!L20</f>
        <v>1509324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info@viocl.hr</v>
      </c>
      <c r="C13" s="27"/>
      <c r="D13" s="27" t="s">
        <v>2272</v>
      </c>
      <c r="E13" s="27">
        <v>1</v>
      </c>
      <c r="F13" s="27">
        <f>Bilanca!I21</f>
        <v>12</v>
      </c>
      <c r="G13" s="27">
        <f>IF(Bilanca!J21=0,"",Bilanca!J21)</f>
      </c>
      <c r="H13" s="224">
        <f t="shared" si="1"/>
        <v>61238612.04</v>
      </c>
      <c r="I13" s="27">
        <f t="shared" si="2"/>
        <v>0</v>
      </c>
      <c r="J13" s="75">
        <f>Bilanca!K21</f>
        <v>160002305</v>
      </c>
      <c r="K13" s="76">
        <f>Bilanca!L21</f>
        <v>175159731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www.viocl.hr</v>
      </c>
      <c r="C14" s="27"/>
      <c r="D14" s="27" t="s">
        <v>2272</v>
      </c>
      <c r="E14" s="27">
        <v>1</v>
      </c>
      <c r="F14" s="27">
        <f>Bilanca!I22</f>
        <v>13</v>
      </c>
      <c r="G14" s="27">
        <f>IF(Bilanca!J22=0,"",Bilanca!J22)</f>
      </c>
      <c r="H14" s="224">
        <f t="shared" si="1"/>
        <v>414915.15</v>
      </c>
      <c r="I14" s="77">
        <f t="shared" si="2"/>
        <v>0</v>
      </c>
      <c r="J14" s="75">
        <f>Bilanca!K22</f>
        <v>1158241</v>
      </c>
      <c r="K14" s="76">
        <f>Bilanca!L22</f>
        <v>1016707</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08</v>
      </c>
      <c r="C15" s="27"/>
      <c r="D15" s="27" t="s">
        <v>2272</v>
      </c>
      <c r="E15" s="27">
        <v>1</v>
      </c>
      <c r="F15" s="27">
        <f>Bilanca!I23</f>
        <v>14</v>
      </c>
      <c r="G15" s="27">
        <f>IF(Bilanca!J23=0,"",Bilanca!J23)</f>
      </c>
      <c r="H15" s="224">
        <f t="shared" si="1"/>
        <v>3208397.2199999997</v>
      </c>
      <c r="I15" s="27">
        <f t="shared" si="2"/>
        <v>0</v>
      </c>
      <c r="J15" s="75">
        <f>Bilanca!K23</f>
        <v>7399167</v>
      </c>
      <c r="K15" s="76">
        <f>Bilanca!L23</f>
        <v>7758978</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052</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486852</v>
      </c>
      <c r="I17" s="27">
        <f t="shared" si="2"/>
        <v>0</v>
      </c>
      <c r="J17" s="75">
        <f>Bilanca!K25</f>
        <v>2254105</v>
      </c>
      <c r="K17" s="76">
        <f>Bilanca!L25</f>
        <v>394360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18201579.21</v>
      </c>
      <c r="I18" s="77">
        <f t="shared" si="2"/>
        <v>0</v>
      </c>
      <c r="J18" s="75">
        <f>Bilanca!K26</f>
        <v>30913441</v>
      </c>
      <c r="K18" s="76">
        <f>Bilanca!L26</f>
        <v>38077336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45</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55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45</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55</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69634.8</v>
      </c>
      <c r="I30" s="77">
        <f t="shared" si="2"/>
        <v>0</v>
      </c>
      <c r="J30" s="75">
        <f>Bilanca!K38</f>
        <v>97482</v>
      </c>
      <c r="K30" s="76">
        <f>Bilanca!L38</f>
        <v>71319</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76838.40000000001</v>
      </c>
      <c r="I33" s="27">
        <f t="shared" si="2"/>
        <v>0</v>
      </c>
      <c r="J33" s="75">
        <f>Bilanca!K41</f>
        <v>97482</v>
      </c>
      <c r="K33" s="76">
        <f>Bilanca!L41</f>
        <v>71319</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9038554.9</v>
      </c>
      <c r="I35" s="27">
        <f t="shared" si="2"/>
        <v>0</v>
      </c>
      <c r="J35" s="75">
        <f>Bilanca!K43</f>
        <v>8404415</v>
      </c>
      <c r="K35" s="76">
        <f>Bilanca!L43</f>
        <v>9089785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1737978.2</v>
      </c>
      <c r="I36" s="77">
        <f t="shared" si="2"/>
        <v>0</v>
      </c>
      <c r="J36" s="75">
        <f>Bilanca!K44</f>
        <v>1284318</v>
      </c>
      <c r="K36" s="76">
        <f>Bilanca!L44</f>
        <v>1840667</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1400778.72</v>
      </c>
      <c r="I37" s="27">
        <f t="shared" si="2"/>
        <v>0</v>
      </c>
      <c r="J37" s="75">
        <f>Bilanca!K45</f>
        <v>1284318</v>
      </c>
      <c r="K37" s="76">
        <f>Bilanca!L45</f>
        <v>1303367</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BUDIMIR ELIJANA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++38551260564</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++385571415</v>
      </c>
      <c r="C41" s="27"/>
      <c r="D41" s="27" t="s">
        <v>2272</v>
      </c>
      <c r="E41" s="27">
        <v>1</v>
      </c>
      <c r="F41" s="27">
        <f>Bilanca!I49</f>
        <v>40</v>
      </c>
      <c r="G41" s="27">
        <f>IF(Bilanca!J49=0,"",Bilanca!J49)</f>
      </c>
      <c r="H41" s="224">
        <f t="shared" si="1"/>
        <v>429840</v>
      </c>
      <c r="I41" s="27">
        <f t="shared" si="2"/>
        <v>0</v>
      </c>
      <c r="J41" s="75">
        <f>Bilanca!K49</f>
        <v>0</v>
      </c>
      <c r="K41" s="76">
        <f>Bilanca!L49</f>
        <v>537300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info@viocl.hr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KRULJAC NEVEN</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7863239.290000001</v>
      </c>
      <c r="I44" s="77">
        <f t="shared" si="2"/>
        <v>0</v>
      </c>
      <c r="J44" s="75">
        <f>Bilanca!K52</f>
        <v>5577671</v>
      </c>
      <c r="K44" s="76">
        <f>Bilanca!L52</f>
        <v>6354466</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4670077.5</v>
      </c>
      <c r="I46" s="77">
        <f t="shared" si="4"/>
        <v>0</v>
      </c>
      <c r="J46" s="75">
        <f>Bilanca!K54</f>
        <v>3115858</v>
      </c>
      <c r="K46" s="76">
        <f>Bilanca!L54</f>
        <v>3631046</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641393.76</v>
      </c>
      <c r="I49" s="27">
        <f t="shared" si="4"/>
        <v>0</v>
      </c>
      <c r="J49" s="75">
        <f>Bilanca!K57</f>
        <v>295493</v>
      </c>
      <c r="K49" s="76">
        <f>Bilanca!L57</f>
        <v>520372</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3220483.84</v>
      </c>
      <c r="I50" s="77">
        <f t="shared" si="4"/>
        <v>0</v>
      </c>
      <c r="J50" s="75">
        <f>Bilanca!K58</f>
        <v>2166320</v>
      </c>
      <c r="K50" s="76">
        <f>Bilanca!L58</f>
        <v>2203048</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350000</v>
      </c>
      <c r="I51" s="27">
        <f t="shared" si="4"/>
        <v>0</v>
      </c>
      <c r="J51" s="75">
        <f>Bilanca!K59</f>
        <v>500000</v>
      </c>
      <c r="K51" s="76">
        <f>Bilanca!L59</f>
        <v>100000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392000</v>
      </c>
      <c r="I57" s="27">
        <f t="shared" si="4"/>
        <v>0</v>
      </c>
      <c r="J57" s="75">
        <f>Bilanca!K65</f>
        <v>500000</v>
      </c>
      <c r="K57" s="76">
        <f>Bilanca!L65</f>
        <v>100000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4253474117.4900007</v>
      </c>
      <c r="C59" s="27"/>
      <c r="D59" s="27" t="s">
        <v>2272</v>
      </c>
      <c r="E59" s="27">
        <v>1</v>
      </c>
      <c r="F59" s="27">
        <f>Bilanca!I67</f>
        <v>58</v>
      </c>
      <c r="G59" s="27">
        <f>IF(Bilanca!J67=0,"",Bilanca!J67)</f>
      </c>
      <c r="H59" s="224">
        <f t="shared" si="3"/>
        <v>1526403.4</v>
      </c>
      <c r="I59" s="27">
        <f t="shared" si="4"/>
        <v>0</v>
      </c>
      <c r="J59" s="75">
        <f>Bilanca!K67</f>
        <v>1042426</v>
      </c>
      <c r="K59" s="76">
        <f>Bilanca!L67</f>
        <v>794652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42045.17</v>
      </c>
      <c r="I60" s="77">
        <f t="shared" si="4"/>
        <v>0</v>
      </c>
      <c r="J60" s="75">
        <f>Bilanca!K68</f>
        <v>21909</v>
      </c>
      <c r="K60" s="76">
        <f>Bilanca!L68</f>
        <v>24677</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407362261.8</v>
      </c>
      <c r="I61" s="27">
        <f>ABS(ROUND(J61,0)-J61)+ABS(ROUND(K61,0)-K61)</f>
        <v>0</v>
      </c>
      <c r="J61" s="75">
        <f>Bilanca!K69</f>
        <v>211891607</v>
      </c>
      <c r="K61" s="76">
        <f>Bilanca!L69</f>
        <v>233522748</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89015118914</v>
      </c>
      <c r="C63" s="27"/>
      <c r="D63" s="27" t="s">
        <v>2272</v>
      </c>
      <c r="E63" s="27">
        <v>1</v>
      </c>
      <c r="F63" s="27">
        <f>Bilanca!I72</f>
        <v>62</v>
      </c>
      <c r="G63" s="27">
        <f>IF(Bilanca!J72=0,"",Bilanca!J72)</f>
      </c>
      <c r="H63" s="224">
        <f>J63/100*F63+2*K63/100*F63</f>
        <v>110004120.62</v>
      </c>
      <c r="I63" s="27">
        <f>ABS(ROUND(J63,0)-J63)+ABS(ROUND(K63,0)-K63)</f>
        <v>0</v>
      </c>
      <c r="J63" s="75">
        <f>Bilanca!K72</f>
        <v>57813391</v>
      </c>
      <c r="K63" s="76">
        <f>Bilanca!L72</f>
        <v>59806305</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99159480</v>
      </c>
      <c r="I64" s="27">
        <f>ABS(ROUND(J64,0)-J64)+ABS(ROUND(K64,0)-K64)</f>
        <v>0</v>
      </c>
      <c r="J64" s="75">
        <f>Bilanca!K73</f>
        <v>51732000</v>
      </c>
      <c r="K64" s="76">
        <f>Bilanca!L73</f>
        <v>52832000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10712540.88</v>
      </c>
      <c r="I73" s="27">
        <f t="shared" si="6"/>
        <v>0</v>
      </c>
      <c r="J73" s="75">
        <f>Bilanca!K82</f>
        <v>4915747</v>
      </c>
      <c r="K73" s="76">
        <f>Bilanca!L82</f>
        <v>4981391</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10861326.17</v>
      </c>
      <c r="I74" s="27">
        <f t="shared" si="6"/>
        <v>0</v>
      </c>
      <c r="J74" s="75">
        <f>Bilanca!K83</f>
        <v>4915747</v>
      </c>
      <c r="K74" s="76">
        <f>Bilanca!L83</f>
        <v>4981391</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3863604</v>
      </c>
      <c r="I76" s="27">
        <f t="shared" si="6"/>
        <v>0</v>
      </c>
      <c r="J76" s="75">
        <f>Bilanca!K85</f>
        <v>1165644</v>
      </c>
      <c r="K76" s="76">
        <f>Bilanca!L85</f>
        <v>1992914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3915118.7199999997</v>
      </c>
      <c r="I77" s="27">
        <f t="shared" si="6"/>
        <v>0</v>
      </c>
      <c r="J77" s="75">
        <f>Bilanca!K86</f>
        <v>1165644</v>
      </c>
      <c r="K77" s="76">
        <f>Bilanca!L86</f>
        <v>1992914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33245364.479999997</v>
      </c>
      <c r="I84" s="27">
        <f t="shared" si="6"/>
        <v>0</v>
      </c>
      <c r="J84" s="75">
        <f>Bilanca!K93</f>
        <v>10632140</v>
      </c>
      <c r="K84" s="76">
        <f>Bilanca!L93</f>
        <v>14711258</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33770974.3</v>
      </c>
      <c r="I86" s="27">
        <f t="shared" si="6"/>
        <v>0</v>
      </c>
      <c r="J86" s="75">
        <f>Bilanca!K95</f>
        <v>10603280</v>
      </c>
      <c r="K86" s="76">
        <f>Bilanca!L95</f>
        <v>14563639</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278724.28</v>
      </c>
      <c r="I87" s="27">
        <f t="shared" si="6"/>
        <v>0</v>
      </c>
      <c r="J87" s="75">
        <f>Bilanca!K96</f>
        <v>28860</v>
      </c>
      <c r="K87" s="76">
        <f>Bilanca!L96</f>
        <v>147619</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31048240.650000002</v>
      </c>
      <c r="I94" s="27">
        <f t="shared" si="6"/>
        <v>0</v>
      </c>
      <c r="J94" s="75">
        <f>Bilanca!K103</f>
        <v>9808471</v>
      </c>
      <c r="K94" s="76">
        <f>Bilanca!L103</f>
        <v>11788367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4662350.15</v>
      </c>
      <c r="I96" s="27">
        <f t="shared" si="6"/>
        <v>0</v>
      </c>
      <c r="J96" s="75">
        <f>Bilanca!K105</f>
        <v>1124139</v>
      </c>
      <c r="K96" s="76">
        <f>Bilanca!L105</f>
        <v>1891799</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118967.04000000001</v>
      </c>
      <c r="I97" s="27">
        <f t="shared" si="6"/>
        <v>0</v>
      </c>
      <c r="J97" s="75">
        <f>Bilanca!K106</f>
        <v>57720</v>
      </c>
      <c r="K97" s="76">
        <f>Bilanca!L106</f>
        <v>33102</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1666896.5</v>
      </c>
      <c r="I98" s="27">
        <f t="shared" si="6"/>
        <v>0</v>
      </c>
      <c r="J98" s="75">
        <f>Bilanca!K107</f>
        <v>299344</v>
      </c>
      <c r="K98" s="76">
        <f>Bilanca!L107</f>
        <v>709553</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19586991.48</v>
      </c>
      <c r="I99" s="27">
        <f aca="true" t="shared" si="9" ref="I99:I107">ABS(ROUND(J99,0)-J99)+ABS(ROUND(K99,0)-K99)</f>
        <v>0</v>
      </c>
      <c r="J99" s="75">
        <f>Bilanca!K108</f>
        <v>6134140</v>
      </c>
      <c r="K99" s="76">
        <f>Bilanca!L108</f>
        <v>6926293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1069762.71</v>
      </c>
      <c r="I102" s="27">
        <f t="shared" si="9"/>
        <v>0</v>
      </c>
      <c r="J102" s="75">
        <f>Bilanca!K111</f>
        <v>307977</v>
      </c>
      <c r="K102" s="76">
        <f>Bilanca!L111</f>
        <v>375597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949908.66</v>
      </c>
      <c r="I103" s="27">
        <f t="shared" si="9"/>
        <v>0</v>
      </c>
      <c r="J103" s="75">
        <f>Bilanca!K112</f>
        <v>234711</v>
      </c>
      <c r="K103" s="76">
        <f>Bilanca!L112</f>
        <v>348286</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4890809.7</v>
      </c>
      <c r="I106" s="27">
        <f t="shared" si="9"/>
        <v>0</v>
      </c>
      <c r="J106" s="75">
        <f>Bilanca!K115</f>
        <v>1650440</v>
      </c>
      <c r="K106" s="76">
        <f>Bilanca!L115</f>
        <v>1503737</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453755515.46</v>
      </c>
      <c r="I107" s="27">
        <f t="shared" si="9"/>
        <v>0</v>
      </c>
      <c r="J107" s="75">
        <f>Bilanca!K116</f>
        <v>133637605</v>
      </c>
      <c r="K107" s="76">
        <f>Bilanca!L116</f>
        <v>147216818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726462700.2099999</v>
      </c>
      <c r="I108" s="27">
        <f aca="true" t="shared" si="11" ref="I108:I113">ABS(ROUND(J108,0)-J108)+ABS(ROUND(K108,0)-K108)</f>
        <v>0</v>
      </c>
      <c r="J108" s="75">
        <f>Bilanca!K117</f>
        <v>211891607</v>
      </c>
      <c r="K108" s="76">
        <f>Bilanca!L117</f>
        <v>233522748</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87314804.46</v>
      </c>
      <c r="I112" s="27">
        <f t="shared" si="11"/>
        <v>0</v>
      </c>
      <c r="J112" s="75">
        <f>RDG!K9</f>
        <v>22830552</v>
      </c>
      <c r="K112" s="76">
        <f>RDG!L9</f>
        <v>27915717</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69740401.92</v>
      </c>
      <c r="I113" s="27">
        <f t="shared" si="11"/>
        <v>0</v>
      </c>
      <c r="J113" s="75">
        <f>RDG!K10</f>
        <v>18219758</v>
      </c>
      <c r="K113" s="76">
        <f>RDG!L10</f>
        <v>22024229</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18524960.1</v>
      </c>
      <c r="I114" s="27">
        <f aca="true" t="shared" si="13" ref="I114:I158">ABS(ROUND(J114,0)-J114)+ABS(ROUND(K114,0)-K114)</f>
        <v>0</v>
      </c>
      <c r="J114" s="75">
        <f>RDG!K11</f>
        <v>4610794</v>
      </c>
      <c r="K114" s="76">
        <f>RDG!L11</f>
        <v>5891488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83559069.06</v>
      </c>
      <c r="I115" s="27">
        <f t="shared" si="13"/>
        <v>0</v>
      </c>
      <c r="J115" s="75">
        <f>RDG!K12</f>
        <v>21617421</v>
      </c>
      <c r="K115" s="76">
        <f>RDG!L12</f>
        <v>25840004</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29413378.760000005</v>
      </c>
      <c r="I117" s="27">
        <f t="shared" si="13"/>
        <v>0</v>
      </c>
      <c r="J117" s="75">
        <f>RDG!K14</f>
        <v>7552441</v>
      </c>
      <c r="K117" s="76">
        <f>RDG!L14</f>
        <v>8901960</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9981170.55</v>
      </c>
      <c r="I118" s="27">
        <f t="shared" si="13"/>
        <v>0</v>
      </c>
      <c r="J118" s="75">
        <f>RDG!K15</f>
        <v>2625325</v>
      </c>
      <c r="K118" s="76">
        <f>RDG!L15</f>
        <v>2952795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20022280.740000002</v>
      </c>
      <c r="I120" s="27">
        <f t="shared" si="13"/>
        <v>0</v>
      </c>
      <c r="J120" s="75">
        <f>RDG!K17</f>
        <v>4927116</v>
      </c>
      <c r="K120" s="76">
        <f>RDG!L17</f>
        <v>5949165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21601096.8</v>
      </c>
      <c r="I121" s="27">
        <f t="shared" si="13"/>
        <v>0</v>
      </c>
      <c r="J121" s="75">
        <f>RDG!K18</f>
        <v>5470126</v>
      </c>
      <c r="K121" s="76">
        <f>RDG!L18</f>
        <v>6265394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13472025.05</v>
      </c>
      <c r="I122" s="27">
        <f t="shared" si="13"/>
        <v>0</v>
      </c>
      <c r="J122" s="75">
        <f>RDG!K19</f>
        <v>3380143</v>
      </c>
      <c r="K122" s="76">
        <f>RDG!L19</f>
        <v>3876881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5254813.28</v>
      </c>
      <c r="I123" s="27">
        <f t="shared" si="13"/>
        <v>0</v>
      </c>
      <c r="J123" s="75">
        <f>RDG!K20</f>
        <v>1315618</v>
      </c>
      <c r="K123" s="76">
        <f>RDG!L20</f>
        <v>1495803</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3148535.55</v>
      </c>
      <c r="I124" s="27">
        <f t="shared" si="13"/>
        <v>0</v>
      </c>
      <c r="J124" s="75">
        <f>RDG!K21</f>
        <v>774365</v>
      </c>
      <c r="K124" s="76">
        <f>RDG!L21</f>
        <v>892710</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33737404.16</v>
      </c>
      <c r="I125" s="27">
        <f t="shared" si="13"/>
        <v>0</v>
      </c>
      <c r="J125" s="75">
        <f>RDG!K22</f>
        <v>7480894</v>
      </c>
      <c r="K125" s="76">
        <f>RDG!L22</f>
        <v>9863345</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3126327.5</v>
      </c>
      <c r="I126" s="27">
        <f t="shared" si="13"/>
        <v>0</v>
      </c>
      <c r="J126" s="75">
        <f>RDG!K23</f>
        <v>1034696</v>
      </c>
      <c r="K126" s="76">
        <f>RDG!L23</f>
        <v>733183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214540.2</v>
      </c>
      <c r="I127" s="27">
        <f t="shared" si="13"/>
        <v>0</v>
      </c>
      <c r="J127" s="75">
        <f>RDG!K24</f>
        <v>79264</v>
      </c>
      <c r="K127" s="76">
        <f>RDG!L24</f>
        <v>45503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217945.59999999998</v>
      </c>
      <c r="I129" s="27">
        <f t="shared" si="13"/>
        <v>0</v>
      </c>
      <c r="J129" s="75">
        <f>RDG!K26</f>
        <v>79264</v>
      </c>
      <c r="K129" s="76">
        <f>RDG!L26</f>
        <v>45503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79609.4</v>
      </c>
      <c r="I131" s="27">
        <f t="shared" si="13"/>
        <v>0</v>
      </c>
      <c r="J131" s="75">
        <f>RDG!K28</f>
        <v>0</v>
      </c>
      <c r="K131" s="76">
        <f>RDG!L28</f>
        <v>30619</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735678.9700000001</v>
      </c>
      <c r="I132" s="27">
        <f t="shared" si="13"/>
        <v>0</v>
      </c>
      <c r="J132" s="75">
        <f>RDG!K29</f>
        <v>118473</v>
      </c>
      <c r="K132" s="76">
        <f>RDG!L29</f>
        <v>221557</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746910.71</v>
      </c>
      <c r="I134" s="27">
        <f t="shared" si="13"/>
        <v>0</v>
      </c>
      <c r="J134" s="75">
        <f>RDG!K31</f>
        <v>118473</v>
      </c>
      <c r="K134" s="76">
        <f>RDG!L31</f>
        <v>221557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669272.3999999999</v>
      </c>
      <c r="I138" s="27">
        <f t="shared" si="13"/>
        <v>0</v>
      </c>
      <c r="J138" s="75">
        <f>RDG!K35</f>
        <v>125948</v>
      </c>
      <c r="K138" s="76">
        <f>RDG!L35</f>
        <v>181286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679042.7999999999</v>
      </c>
      <c r="I140" s="27">
        <f t="shared" si="13"/>
        <v>0</v>
      </c>
      <c r="J140" s="75">
        <f>RDG!K37</f>
        <v>125948</v>
      </c>
      <c r="K140" s="76">
        <f>RDG!L37</f>
        <v>181286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18589</v>
      </c>
      <c r="I146" s="27">
        <f t="shared" si="13"/>
        <v>0</v>
      </c>
      <c r="J146" s="75">
        <f>RDG!K43</f>
        <v>0</v>
      </c>
      <c r="K146" s="76">
        <f>RDG!L43</f>
        <v>6410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115666416.58</v>
      </c>
      <c r="I147" s="27">
        <f t="shared" si="13"/>
        <v>0</v>
      </c>
      <c r="J147" s="75">
        <f>RDG!K44</f>
        <v>22949025</v>
      </c>
      <c r="K147" s="76">
        <f>RDG!L44</f>
        <v>28137274</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108484190.43</v>
      </c>
      <c r="I148" s="27">
        <f t="shared" si="13"/>
        <v>0</v>
      </c>
      <c r="J148" s="75">
        <f>RDG!K45</f>
        <v>21743369</v>
      </c>
      <c r="K148" s="76">
        <f>RDG!L45</f>
        <v>26027700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8028709.92</v>
      </c>
      <c r="I149" s="27">
        <f t="shared" si="13"/>
        <v>0</v>
      </c>
      <c r="J149" s="75">
        <f>RDG!K46</f>
        <v>1205656</v>
      </c>
      <c r="K149" s="76">
        <f>RDG!L46</f>
        <v>2109574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8082957.960000001</v>
      </c>
      <c r="I150" s="27">
        <f t="shared" si="13"/>
        <v>0</v>
      </c>
      <c r="J150" s="75">
        <f>RDG!K47</f>
        <v>1205656</v>
      </c>
      <c r="K150" s="76">
        <f>RDG!L47</f>
        <v>2109574</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412731.31999999995</v>
      </c>
      <c r="I152" s="27">
        <f t="shared" si="13"/>
        <v>0</v>
      </c>
      <c r="J152" s="75">
        <f>RDG!K49</f>
        <v>40012</v>
      </c>
      <c r="K152" s="76">
        <f>RDG!L49</f>
        <v>116660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7830237.4399999995</v>
      </c>
      <c r="I153" s="27">
        <f t="shared" si="13"/>
        <v>0</v>
      </c>
      <c r="J153" s="75">
        <f>RDG!K50</f>
        <v>1165644</v>
      </c>
      <c r="K153" s="76">
        <f>RDG!L50</f>
        <v>1992914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7881752.16</v>
      </c>
      <c r="I154" s="27">
        <f t="shared" si="13"/>
        <v>0</v>
      </c>
      <c r="J154" s="75">
        <f>RDG!K51</f>
        <v>1165644</v>
      </c>
      <c r="K154" s="76">
        <f>RDG!L51</f>
        <v>1992914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04149084; VODOOPSKRBA I ODVODNJA CRES LOŠINJ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1"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1</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INFO@VIOCL.HR</v>
      </c>
      <c r="N59" s="201" t="str">
        <f>UPPER(TRIM(Opci!C69))</f>
        <v>INFO@VIOCL.HR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C:\Users\ebudimir\Documents\[GFI-POD VIO 2015 (javna objava).xls]Opci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1" t="s">
        <v>2847</v>
      </c>
      <c r="D92" s="632"/>
      <c r="E92" s="632"/>
      <c r="F92" s="632"/>
      <c r="G92" s="632"/>
      <c r="H92" s="632"/>
      <c r="I92" s="632"/>
      <c r="J92" s="632"/>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20</v>
      </c>
      <c r="R92">
        <f>IF(Opci!C55+Opci!E55,ABS(Opci!C55-Opci!E55)/(Opci!C55+Opci!E55)*200,0)</f>
        <v>20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VODOOPSKRBA I ODVODNJA CRES LO</v>
      </c>
      <c r="B21" s="250"/>
      <c r="C21" s="250"/>
      <c r="D21" s="250"/>
      <c r="E21" s="250"/>
      <c r="F21" s="250"/>
      <c r="G21" s="250"/>
      <c r="H21" s="251"/>
      <c r="I21" s="252"/>
      <c r="J21" s="253"/>
    </row>
    <row r="22" spans="1:10" ht="13.5" customHeight="1">
      <c r="A22" s="255" t="str">
        <f>IF(Opci!C29&lt;&gt;"",MID(Opci!C29,1,30),"")</f>
        <v>TURION 20/A</v>
      </c>
      <c r="B22" s="249"/>
      <c r="C22" s="249"/>
      <c r="D22" s="249"/>
      <c r="E22" s="249"/>
      <c r="F22" s="249"/>
      <c r="G22" s="249"/>
      <c r="H22" s="80"/>
      <c r="I22" s="247"/>
      <c r="J22" s="246"/>
    </row>
    <row r="23" spans="1:10" ht="13.5" customHeight="1">
      <c r="A23" s="255" t="str">
        <f>IF(AND(Opci!C27&lt;&gt;"",Opci!F27&lt;&gt;""),MID(Opci!C27&amp;" "&amp;Opci!F27,1,30),"")</f>
        <v>51557 CRES</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5 5 2 3 2 8 0 0 2 2 3</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C1" sqref="C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3"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414908.4</v>
      </c>
      <c r="T2" s="192">
        <f>INT(VALUE(C21))/50</f>
        <v>806355.2</v>
      </c>
      <c r="U2" s="192">
        <f>INT(VALUE(C23))/100</f>
        <v>552328002.23</v>
      </c>
      <c r="V2" s="192">
        <f>LEN(Skriveni!B9)</f>
        <v>41</v>
      </c>
      <c r="W2" s="192">
        <f>INT(VALUE(C27))/100</f>
        <v>515.57</v>
      </c>
      <c r="X2" s="192">
        <f>LEN(Skriveni!B11)</f>
        <v>4</v>
      </c>
      <c r="Y2" s="192">
        <f>LEN(Skriveni!B12)</f>
        <v>11</v>
      </c>
      <c r="Z2" s="192">
        <f>INT(VALUE(C35))</f>
        <v>52</v>
      </c>
      <c r="AA2" s="192">
        <f>INT(VALUE(C39))</f>
        <v>3600</v>
      </c>
      <c r="AB2" s="192">
        <f>IF(C41="DA",1,0)</f>
        <v>0</v>
      </c>
      <c r="AC2" s="192">
        <f>IF(C43="DA",1,0)</f>
        <v>1</v>
      </c>
      <c r="AD2" s="192">
        <f>INT(VALUE(C45))</f>
        <v>2</v>
      </c>
      <c r="AE2" s="192">
        <f>INT(VALUE(C47))</f>
        <v>1</v>
      </c>
      <c r="AF2" s="192">
        <f>INT(VALUE(C49))</f>
        <v>11</v>
      </c>
      <c r="AG2" s="192">
        <f>C51*2+E51</f>
        <v>200</v>
      </c>
      <c r="AH2" s="192">
        <f>C53+2*E53+3*C55+4*E55</f>
        <v>510</v>
      </c>
      <c r="AI2" s="192">
        <f>C57*2+E57</f>
        <v>36</v>
      </c>
      <c r="AJ2" s="192">
        <f>LEN(Skriveni!B43)</f>
        <v>13</v>
      </c>
      <c r="AK2" s="220">
        <f>INT(VALUE(E43))/100</f>
        <v>890151189.14</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42005</v>
      </c>
      <c r="F5" s="463"/>
      <c r="G5" s="146" t="s">
        <v>2278</v>
      </c>
      <c r="H5" s="462">
        <v>42369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64" t="str">
        <f>IF(E9&lt;&gt;""," "&amp;LOOKUP(E9,AB29:AB45,AC29:AC45),"")</f>
        <v> Javno trgovačko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c r="H14" s="438" t="s">
        <v>1010</v>
      </c>
      <c r="I14" s="439"/>
      <c r="J14" s="439"/>
      <c r="K14" s="97"/>
      <c r="L14" s="162"/>
      <c r="M14" s="162"/>
      <c r="N14" s="162"/>
    </row>
    <row r="15" spans="1:14" ht="19.5" customHeight="1">
      <c r="A15" s="440">
        <f>SUM(Skriveni!H2:H392)+SUM(P2:AK2)+SUM(Skriveni!AC2:AC101)</f>
        <v>4253474117.4900007</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51557</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2980</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52</v>
      </c>
      <c r="D35" s="414" t="str">
        <f>IF(C35&lt;&gt;"",LOOKUP(C35,P29:P584,Q29:Q584),"Nije upisana općina!")</f>
        <v>Cres</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8</v>
      </c>
      <c r="D37" s="414" t="str">
        <f>IF(C37&lt;&gt;"",LOOKUP(C37,T29:T49,U29:U49),"")</f>
        <v>PRIMORSKO-GORANSKA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2981</v>
      </c>
      <c r="D43" s="217" t="s">
        <v>2689</v>
      </c>
      <c r="E43" s="393" t="s">
        <v>2982</v>
      </c>
      <c r="F43" s="394"/>
      <c r="G43" s="46"/>
      <c r="H43" s="124" t="s">
        <v>2981</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2981</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45</v>
      </c>
      <c r="D53" s="171"/>
      <c r="E53" s="190">
        <v>55</v>
      </c>
      <c r="F53" s="171"/>
      <c r="G53" s="97"/>
      <c r="H53" s="124" t="s">
        <v>2981</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45</v>
      </c>
      <c r="D55" s="171"/>
      <c r="E55" s="191">
        <v>55</v>
      </c>
      <c r="F55" s="171"/>
      <c r="G55" s="97"/>
      <c r="H55" s="124" t="s">
        <v>2981</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2984</v>
      </c>
      <c r="D67" s="420"/>
      <c r="E67" s="421"/>
      <c r="F67" s="97"/>
      <c r="G67" s="167" t="s">
        <v>1484</v>
      </c>
      <c r="H67" s="452" t="s">
        <v>2985</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2979</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2986</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60" activePane="bottomLeft" state="frozen"/>
      <selection pane="topLeft" activeCell="A1" sqref="A1"/>
      <selection pane="bottomLeft" activeCell="L117" sqref="L11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31.12.2015.</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55232800223; VODOOPSKRBA I ODVODNJA CRES LOŠINJ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203465283</v>
      </c>
      <c r="L11" s="59">
        <f>L12+L19+L29+L38+L42</f>
        <v>224408286</v>
      </c>
    </row>
    <row r="12" spans="1:12" ht="13.5" customHeight="1">
      <c r="A12" s="482" t="s">
        <v>753</v>
      </c>
      <c r="B12" s="483"/>
      <c r="C12" s="483"/>
      <c r="D12" s="483"/>
      <c r="E12" s="483"/>
      <c r="F12" s="483"/>
      <c r="G12" s="483"/>
      <c r="H12" s="484"/>
      <c r="I12" s="4">
        <v>3</v>
      </c>
      <c r="J12" s="8"/>
      <c r="K12" s="59">
        <f>SUM(K13:K18)</f>
        <v>131218</v>
      </c>
      <c r="L12" s="59">
        <f>SUM(L13:L18)</f>
        <v>420531</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131218</v>
      </c>
      <c r="L14" s="60">
        <v>420531</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203236583</v>
      </c>
      <c r="L19" s="59">
        <f>SUM(L20:L28)</f>
        <v>223916436</v>
      </c>
    </row>
    <row r="20" spans="1:12" ht="13.5" customHeight="1">
      <c r="A20" s="479" t="s">
        <v>1436</v>
      </c>
      <c r="B20" s="480"/>
      <c r="C20" s="480"/>
      <c r="D20" s="480"/>
      <c r="E20" s="480"/>
      <c r="F20" s="480"/>
      <c r="G20" s="480"/>
      <c r="H20" s="481"/>
      <c r="I20" s="4">
        <v>11</v>
      </c>
      <c r="J20" s="8"/>
      <c r="K20" s="60">
        <v>1509324</v>
      </c>
      <c r="L20" s="60">
        <v>1509324</v>
      </c>
    </row>
    <row r="21" spans="1:12" ht="13.5" customHeight="1">
      <c r="A21" s="479" t="s">
        <v>186</v>
      </c>
      <c r="B21" s="480"/>
      <c r="C21" s="480"/>
      <c r="D21" s="480"/>
      <c r="E21" s="480"/>
      <c r="F21" s="480"/>
      <c r="G21" s="480"/>
      <c r="H21" s="481"/>
      <c r="I21" s="4">
        <v>12</v>
      </c>
      <c r="J21" s="8"/>
      <c r="K21" s="60">
        <v>160002305</v>
      </c>
      <c r="L21" s="60">
        <v>175159731</v>
      </c>
    </row>
    <row r="22" spans="1:12" ht="13.5" customHeight="1">
      <c r="A22" s="479" t="s">
        <v>1437</v>
      </c>
      <c r="B22" s="480"/>
      <c r="C22" s="480"/>
      <c r="D22" s="480"/>
      <c r="E22" s="480"/>
      <c r="F22" s="480"/>
      <c r="G22" s="480"/>
      <c r="H22" s="481"/>
      <c r="I22" s="4">
        <v>13</v>
      </c>
      <c r="J22" s="8"/>
      <c r="K22" s="60">
        <v>1158241</v>
      </c>
      <c r="L22" s="60">
        <v>1016707</v>
      </c>
    </row>
    <row r="23" spans="1:12" ht="13.5" customHeight="1">
      <c r="A23" s="479" t="s">
        <v>1273</v>
      </c>
      <c r="B23" s="480"/>
      <c r="C23" s="480"/>
      <c r="D23" s="480"/>
      <c r="E23" s="480"/>
      <c r="F23" s="480"/>
      <c r="G23" s="480"/>
      <c r="H23" s="481"/>
      <c r="I23" s="4">
        <v>14</v>
      </c>
      <c r="J23" s="8"/>
      <c r="K23" s="60">
        <v>7399167</v>
      </c>
      <c r="L23" s="60">
        <v>7758978</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v>2254105</v>
      </c>
      <c r="L25" s="60">
        <v>394360</v>
      </c>
    </row>
    <row r="26" spans="1:12" ht="13.5" customHeight="1">
      <c r="A26" s="479" t="s">
        <v>1164</v>
      </c>
      <c r="B26" s="480"/>
      <c r="C26" s="480"/>
      <c r="D26" s="480"/>
      <c r="E26" s="480"/>
      <c r="F26" s="480"/>
      <c r="G26" s="480"/>
      <c r="H26" s="481"/>
      <c r="I26" s="4">
        <v>17</v>
      </c>
      <c r="J26" s="8"/>
      <c r="K26" s="60">
        <v>30913441</v>
      </c>
      <c r="L26" s="60">
        <v>38077336</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97482</v>
      </c>
      <c r="L38" s="59">
        <f>SUM(L39:L41)</f>
        <v>71319</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v>97482</v>
      </c>
      <c r="L41" s="60">
        <v>71319</v>
      </c>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8404415</v>
      </c>
      <c r="L43" s="59">
        <f>L44+L52+L59+L67</f>
        <v>9089785</v>
      </c>
    </row>
    <row r="44" spans="1:12" ht="13.5" customHeight="1">
      <c r="A44" s="482" t="s">
        <v>319</v>
      </c>
      <c r="B44" s="483"/>
      <c r="C44" s="483"/>
      <c r="D44" s="483"/>
      <c r="E44" s="483"/>
      <c r="F44" s="483"/>
      <c r="G44" s="483"/>
      <c r="H44" s="484"/>
      <c r="I44" s="4">
        <v>35</v>
      </c>
      <c r="J44" s="8"/>
      <c r="K44" s="59">
        <f>SUM(K45:K51)</f>
        <v>1284318</v>
      </c>
      <c r="L44" s="59">
        <f>SUM(L45:L51)</f>
        <v>1840667</v>
      </c>
    </row>
    <row r="45" spans="1:12" ht="13.5" customHeight="1">
      <c r="A45" s="479" t="s">
        <v>1485</v>
      </c>
      <c r="B45" s="480"/>
      <c r="C45" s="480"/>
      <c r="D45" s="480"/>
      <c r="E45" s="480"/>
      <c r="F45" s="480"/>
      <c r="G45" s="480"/>
      <c r="H45" s="481"/>
      <c r="I45" s="4">
        <v>36</v>
      </c>
      <c r="J45" s="8"/>
      <c r="K45" s="60">
        <v>1284318</v>
      </c>
      <c r="L45" s="60">
        <v>1303367</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v>537300</v>
      </c>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5577671</v>
      </c>
      <c r="L52" s="59">
        <f>SUM(L53:L58)</f>
        <v>6354466</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3115858</v>
      </c>
      <c r="L54" s="60">
        <v>3631046</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v>295493</v>
      </c>
      <c r="L57" s="60">
        <v>520372</v>
      </c>
    </row>
    <row r="58" spans="1:12" ht="13.5" customHeight="1">
      <c r="A58" s="479" t="s">
        <v>664</v>
      </c>
      <c r="B58" s="480"/>
      <c r="C58" s="480"/>
      <c r="D58" s="480"/>
      <c r="E58" s="480"/>
      <c r="F58" s="480"/>
      <c r="G58" s="480"/>
      <c r="H58" s="481"/>
      <c r="I58" s="4">
        <v>49</v>
      </c>
      <c r="J58" s="8"/>
      <c r="K58" s="60">
        <v>2166320</v>
      </c>
      <c r="L58" s="60">
        <v>2203048</v>
      </c>
    </row>
    <row r="59" spans="1:12" ht="13.5" customHeight="1">
      <c r="A59" s="482" t="s">
        <v>321</v>
      </c>
      <c r="B59" s="483"/>
      <c r="C59" s="483"/>
      <c r="D59" s="483"/>
      <c r="E59" s="483"/>
      <c r="F59" s="483"/>
      <c r="G59" s="483"/>
      <c r="H59" s="484"/>
      <c r="I59" s="4">
        <v>50</v>
      </c>
      <c r="J59" s="8"/>
      <c r="K59" s="59">
        <f>SUM(K60:K66)</f>
        <v>500000</v>
      </c>
      <c r="L59" s="59">
        <f>SUM(L60:L66)</f>
        <v>100000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v>500000</v>
      </c>
      <c r="L65" s="60">
        <v>100000</v>
      </c>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1042426</v>
      </c>
      <c r="L67" s="60">
        <v>794652</v>
      </c>
    </row>
    <row r="68" spans="1:12" ht="13.5" customHeight="1">
      <c r="A68" s="488" t="s">
        <v>2848</v>
      </c>
      <c r="B68" s="489"/>
      <c r="C68" s="489"/>
      <c r="D68" s="489"/>
      <c r="E68" s="489"/>
      <c r="F68" s="489"/>
      <c r="G68" s="489"/>
      <c r="H68" s="490"/>
      <c r="I68" s="4">
        <v>59</v>
      </c>
      <c r="J68" s="8"/>
      <c r="K68" s="60">
        <v>21909</v>
      </c>
      <c r="L68" s="60">
        <v>24677</v>
      </c>
    </row>
    <row r="69" spans="1:12" ht="13.5" customHeight="1">
      <c r="A69" s="488" t="s">
        <v>2298</v>
      </c>
      <c r="B69" s="489"/>
      <c r="C69" s="489"/>
      <c r="D69" s="489"/>
      <c r="E69" s="489"/>
      <c r="F69" s="489"/>
      <c r="G69" s="489"/>
      <c r="H69" s="490"/>
      <c r="I69" s="4">
        <v>60</v>
      </c>
      <c r="J69" s="8"/>
      <c r="K69" s="59">
        <f>K10+K11+K43+K68</f>
        <v>211891607</v>
      </c>
      <c r="L69" s="59">
        <f>L10+L11+L43+L68</f>
        <v>233522748</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57813391</v>
      </c>
      <c r="L72" s="79">
        <f>L73+L74+L75+L81+L82+L85+L88</f>
        <v>59806305</v>
      </c>
    </row>
    <row r="73" spans="1:12" ht="13.5" customHeight="1">
      <c r="A73" s="482" t="s">
        <v>2741</v>
      </c>
      <c r="B73" s="483"/>
      <c r="C73" s="483"/>
      <c r="D73" s="483"/>
      <c r="E73" s="483"/>
      <c r="F73" s="483"/>
      <c r="G73" s="483"/>
      <c r="H73" s="484"/>
      <c r="I73" s="4">
        <v>63</v>
      </c>
      <c r="J73" s="8"/>
      <c r="K73" s="60">
        <v>51732000</v>
      </c>
      <c r="L73" s="60">
        <v>52832000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0</v>
      </c>
      <c r="L75" s="59">
        <f>L76+L77-L78+L79+L80</f>
        <v>0</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4915747</v>
      </c>
      <c r="L82" s="59">
        <f>L83-L84</f>
        <v>4981391</v>
      </c>
    </row>
    <row r="83" spans="1:12" ht="13.5" customHeight="1">
      <c r="A83" s="485" t="s">
        <v>2824</v>
      </c>
      <c r="B83" s="486"/>
      <c r="C83" s="486"/>
      <c r="D83" s="486"/>
      <c r="E83" s="486"/>
      <c r="F83" s="486"/>
      <c r="G83" s="486"/>
      <c r="H83" s="487"/>
      <c r="I83" s="4">
        <v>73</v>
      </c>
      <c r="J83" s="8"/>
      <c r="K83" s="60">
        <v>4915747</v>
      </c>
      <c r="L83" s="60">
        <v>4981391</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1165644</v>
      </c>
      <c r="L85" s="59">
        <f>L86-L87</f>
        <v>1992914</v>
      </c>
    </row>
    <row r="86" spans="1:12" ht="13.5" customHeight="1">
      <c r="A86" s="485" t="s">
        <v>2826</v>
      </c>
      <c r="B86" s="486"/>
      <c r="C86" s="486"/>
      <c r="D86" s="486"/>
      <c r="E86" s="486"/>
      <c r="F86" s="486"/>
      <c r="G86" s="486"/>
      <c r="H86" s="487"/>
      <c r="I86" s="4">
        <v>76</v>
      </c>
      <c r="J86" s="8"/>
      <c r="K86" s="60">
        <v>1165644</v>
      </c>
      <c r="L86" s="60">
        <v>1992914</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10632140</v>
      </c>
      <c r="L93" s="59">
        <f>SUM(L94:L102)</f>
        <v>14711258</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v>10603280</v>
      </c>
      <c r="L95" s="60">
        <v>14563639</v>
      </c>
    </row>
    <row r="96" spans="1:12" ht="13.5" customHeight="1">
      <c r="A96" s="479" t="s">
        <v>1524</v>
      </c>
      <c r="B96" s="480"/>
      <c r="C96" s="480"/>
      <c r="D96" s="480"/>
      <c r="E96" s="480"/>
      <c r="F96" s="480"/>
      <c r="G96" s="480"/>
      <c r="H96" s="481"/>
      <c r="I96" s="4">
        <v>86</v>
      </c>
      <c r="J96" s="8"/>
      <c r="K96" s="60">
        <v>28860</v>
      </c>
      <c r="L96" s="60">
        <v>147619</v>
      </c>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9808471</v>
      </c>
      <c r="L103" s="59">
        <f>SUM(L104:L115)</f>
        <v>11788367</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v>1124139</v>
      </c>
      <c r="L105" s="60">
        <v>1891799</v>
      </c>
    </row>
    <row r="106" spans="1:12" ht="13.5" customHeight="1">
      <c r="A106" s="479" t="s">
        <v>1524</v>
      </c>
      <c r="B106" s="480"/>
      <c r="C106" s="480"/>
      <c r="D106" s="480"/>
      <c r="E106" s="480"/>
      <c r="F106" s="480"/>
      <c r="G106" s="480"/>
      <c r="H106" s="481"/>
      <c r="I106" s="4">
        <v>96</v>
      </c>
      <c r="J106" s="8"/>
      <c r="K106" s="60">
        <v>57720</v>
      </c>
      <c r="L106" s="60">
        <v>33102</v>
      </c>
    </row>
    <row r="107" spans="1:12" ht="13.5" customHeight="1">
      <c r="A107" s="479" t="s">
        <v>179</v>
      </c>
      <c r="B107" s="480"/>
      <c r="C107" s="480"/>
      <c r="D107" s="480"/>
      <c r="E107" s="480"/>
      <c r="F107" s="480"/>
      <c r="G107" s="480"/>
      <c r="H107" s="481"/>
      <c r="I107" s="4">
        <v>97</v>
      </c>
      <c r="J107" s="8"/>
      <c r="K107" s="60">
        <v>299344</v>
      </c>
      <c r="L107" s="60">
        <v>709553</v>
      </c>
    </row>
    <row r="108" spans="1:12" ht="13.5" customHeight="1">
      <c r="A108" s="479" t="s">
        <v>180</v>
      </c>
      <c r="B108" s="480"/>
      <c r="C108" s="480"/>
      <c r="D108" s="480"/>
      <c r="E108" s="480"/>
      <c r="F108" s="480"/>
      <c r="G108" s="480"/>
      <c r="H108" s="481"/>
      <c r="I108" s="4">
        <v>98</v>
      </c>
      <c r="J108" s="8"/>
      <c r="K108" s="60">
        <v>6134140</v>
      </c>
      <c r="L108" s="60">
        <v>6926293</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307977</v>
      </c>
      <c r="L111" s="60">
        <v>375597</v>
      </c>
    </row>
    <row r="112" spans="1:12" ht="13.5" customHeight="1">
      <c r="A112" s="479" t="s">
        <v>314</v>
      </c>
      <c r="B112" s="480"/>
      <c r="C112" s="480"/>
      <c r="D112" s="480"/>
      <c r="E112" s="480"/>
      <c r="F112" s="480"/>
      <c r="G112" s="480"/>
      <c r="H112" s="481"/>
      <c r="I112" s="4">
        <v>102</v>
      </c>
      <c r="J112" s="8"/>
      <c r="K112" s="60">
        <v>234711</v>
      </c>
      <c r="L112" s="60">
        <v>348286</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1650440</v>
      </c>
      <c r="L115" s="60">
        <v>1503737</v>
      </c>
    </row>
    <row r="116" spans="1:12" ht="13.5" customHeight="1">
      <c r="A116" s="488" t="s">
        <v>1525</v>
      </c>
      <c r="B116" s="489"/>
      <c r="C116" s="489"/>
      <c r="D116" s="489"/>
      <c r="E116" s="489"/>
      <c r="F116" s="489"/>
      <c r="G116" s="489"/>
      <c r="H116" s="490"/>
      <c r="I116" s="4">
        <v>106</v>
      </c>
      <c r="J116" s="8"/>
      <c r="K116" s="60">
        <v>133637605</v>
      </c>
      <c r="L116" s="60">
        <v>147216818</v>
      </c>
    </row>
    <row r="117" spans="1:12" ht="13.5" customHeight="1">
      <c r="A117" s="488" t="s">
        <v>1271</v>
      </c>
      <c r="B117" s="489"/>
      <c r="C117" s="489"/>
      <c r="D117" s="489"/>
      <c r="E117" s="489"/>
      <c r="F117" s="489"/>
      <c r="G117" s="489"/>
      <c r="H117" s="490"/>
      <c r="I117" s="4">
        <v>107</v>
      </c>
      <c r="J117" s="8"/>
      <c r="K117" s="59">
        <f>K72+K89+K93+K103+K116</f>
        <v>211891607</v>
      </c>
      <c r="L117" s="59">
        <f>L72+L89+L93+L103+L116</f>
        <v>233522748</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20" activePane="bottomLeft" state="frozen"/>
      <selection pane="topLeft" activeCell="A1" sqref="A1"/>
      <selection pane="bottomLeft" activeCell="L58" sqref="L5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01.01.2015. do 31.12.2015.</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55232800223; VODOOPSKRBA I ODVODNJA CRES LOŠINJ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22830552</v>
      </c>
      <c r="L9" s="79">
        <f>SUM(L10:L11)</f>
        <v>27915717</v>
      </c>
    </row>
    <row r="10" spans="1:12" s="3" customFormat="1" ht="13.5" customHeight="1">
      <c r="A10" s="488" t="s">
        <v>1722</v>
      </c>
      <c r="B10" s="489"/>
      <c r="C10" s="489"/>
      <c r="D10" s="489"/>
      <c r="E10" s="489"/>
      <c r="F10" s="489"/>
      <c r="G10" s="489"/>
      <c r="H10" s="490"/>
      <c r="I10" s="4">
        <v>112</v>
      </c>
      <c r="J10" s="8"/>
      <c r="K10" s="60">
        <v>18219758</v>
      </c>
      <c r="L10" s="60">
        <v>22024229</v>
      </c>
    </row>
    <row r="11" spans="1:12" s="3" customFormat="1" ht="13.5" customHeight="1">
      <c r="A11" s="488" t="s">
        <v>322</v>
      </c>
      <c r="B11" s="489"/>
      <c r="C11" s="489"/>
      <c r="D11" s="489"/>
      <c r="E11" s="489"/>
      <c r="F11" s="489"/>
      <c r="G11" s="489"/>
      <c r="H11" s="490"/>
      <c r="I11" s="4">
        <v>113</v>
      </c>
      <c r="J11" s="8"/>
      <c r="K11" s="60">
        <v>4610794</v>
      </c>
      <c r="L11" s="60">
        <v>5891488</v>
      </c>
    </row>
    <row r="12" spans="1:12" s="3" customFormat="1" ht="13.5" customHeight="1">
      <c r="A12" s="488" t="s">
        <v>669</v>
      </c>
      <c r="B12" s="489"/>
      <c r="C12" s="489"/>
      <c r="D12" s="489"/>
      <c r="E12" s="489"/>
      <c r="F12" s="489"/>
      <c r="G12" s="489"/>
      <c r="H12" s="490"/>
      <c r="I12" s="4">
        <v>114</v>
      </c>
      <c r="J12" s="8"/>
      <c r="K12" s="59">
        <f>K13+K14+K18+K22+K23+K24+K27+K28</f>
        <v>21617421</v>
      </c>
      <c r="L12" s="59">
        <f>L13+L14+L18+L22+L23+L24+L27+L28</f>
        <v>25840004</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7552441</v>
      </c>
      <c r="L14" s="59">
        <f>SUM(L15:L17)</f>
        <v>8901960</v>
      </c>
    </row>
    <row r="15" spans="1:12" s="3" customFormat="1" ht="13.5" customHeight="1">
      <c r="A15" s="479" t="s">
        <v>2463</v>
      </c>
      <c r="B15" s="480"/>
      <c r="C15" s="480"/>
      <c r="D15" s="480"/>
      <c r="E15" s="480"/>
      <c r="F15" s="480"/>
      <c r="G15" s="480"/>
      <c r="H15" s="481"/>
      <c r="I15" s="4">
        <v>117</v>
      </c>
      <c r="J15" s="8"/>
      <c r="K15" s="60">
        <v>2625325</v>
      </c>
      <c r="L15" s="60">
        <v>2952795</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4927116</v>
      </c>
      <c r="L17" s="60">
        <v>5949165</v>
      </c>
    </row>
    <row r="18" spans="1:12" s="3" customFormat="1" ht="13.5" customHeight="1">
      <c r="A18" s="488" t="s">
        <v>1269</v>
      </c>
      <c r="B18" s="489"/>
      <c r="C18" s="489"/>
      <c r="D18" s="489"/>
      <c r="E18" s="489"/>
      <c r="F18" s="489"/>
      <c r="G18" s="489"/>
      <c r="H18" s="490"/>
      <c r="I18" s="4">
        <v>120</v>
      </c>
      <c r="J18" s="8"/>
      <c r="K18" s="59">
        <f>SUM(K19:K21)</f>
        <v>5470126</v>
      </c>
      <c r="L18" s="59">
        <f>SUM(L19:L21)</f>
        <v>6265394</v>
      </c>
    </row>
    <row r="19" spans="1:12" s="3" customFormat="1" ht="13.5" customHeight="1">
      <c r="A19" s="479" t="s">
        <v>2664</v>
      </c>
      <c r="B19" s="480"/>
      <c r="C19" s="480"/>
      <c r="D19" s="480"/>
      <c r="E19" s="480"/>
      <c r="F19" s="480"/>
      <c r="G19" s="480"/>
      <c r="H19" s="481"/>
      <c r="I19" s="4">
        <v>121</v>
      </c>
      <c r="J19" s="8"/>
      <c r="K19" s="60">
        <v>3380143</v>
      </c>
      <c r="L19" s="60">
        <v>3876881</v>
      </c>
    </row>
    <row r="20" spans="1:12" s="3" customFormat="1" ht="13.5" customHeight="1">
      <c r="A20" s="479" t="s">
        <v>2665</v>
      </c>
      <c r="B20" s="480"/>
      <c r="C20" s="480"/>
      <c r="D20" s="480"/>
      <c r="E20" s="480"/>
      <c r="F20" s="480"/>
      <c r="G20" s="480"/>
      <c r="H20" s="481"/>
      <c r="I20" s="4">
        <v>122</v>
      </c>
      <c r="J20" s="8"/>
      <c r="K20" s="60">
        <v>1315618</v>
      </c>
      <c r="L20" s="60">
        <v>1495803</v>
      </c>
    </row>
    <row r="21" spans="1:12" s="3" customFormat="1" ht="13.5" customHeight="1">
      <c r="A21" s="479" t="s">
        <v>2666</v>
      </c>
      <c r="B21" s="480"/>
      <c r="C21" s="480"/>
      <c r="D21" s="480"/>
      <c r="E21" s="480"/>
      <c r="F21" s="480"/>
      <c r="G21" s="480"/>
      <c r="H21" s="481"/>
      <c r="I21" s="4">
        <v>123</v>
      </c>
      <c r="J21" s="8"/>
      <c r="K21" s="60">
        <v>774365</v>
      </c>
      <c r="L21" s="60">
        <v>892710</v>
      </c>
    </row>
    <row r="22" spans="1:12" s="3" customFormat="1" ht="13.5" customHeight="1">
      <c r="A22" s="488" t="s">
        <v>324</v>
      </c>
      <c r="B22" s="489"/>
      <c r="C22" s="489"/>
      <c r="D22" s="489"/>
      <c r="E22" s="489"/>
      <c r="F22" s="489"/>
      <c r="G22" s="489"/>
      <c r="H22" s="490"/>
      <c r="I22" s="4">
        <v>124</v>
      </c>
      <c r="J22" s="8"/>
      <c r="K22" s="60">
        <v>7480894</v>
      </c>
      <c r="L22" s="60">
        <v>9863345</v>
      </c>
    </row>
    <row r="23" spans="1:12" s="3" customFormat="1" ht="13.5" customHeight="1">
      <c r="A23" s="488" t="s">
        <v>325</v>
      </c>
      <c r="B23" s="489"/>
      <c r="C23" s="489"/>
      <c r="D23" s="489"/>
      <c r="E23" s="489"/>
      <c r="F23" s="489"/>
      <c r="G23" s="489"/>
      <c r="H23" s="490"/>
      <c r="I23" s="4">
        <v>125</v>
      </c>
      <c r="J23" s="8"/>
      <c r="K23" s="60">
        <v>1034696</v>
      </c>
      <c r="L23" s="60">
        <v>733183</v>
      </c>
    </row>
    <row r="24" spans="1:12" s="3" customFormat="1" ht="13.5" customHeight="1">
      <c r="A24" s="488" t="s">
        <v>1270</v>
      </c>
      <c r="B24" s="489"/>
      <c r="C24" s="489"/>
      <c r="D24" s="489"/>
      <c r="E24" s="489"/>
      <c r="F24" s="489"/>
      <c r="G24" s="489"/>
      <c r="H24" s="490"/>
      <c r="I24" s="4">
        <v>126</v>
      </c>
      <c r="J24" s="8"/>
      <c r="K24" s="59">
        <f>SUM(K25:K26)</f>
        <v>79264</v>
      </c>
      <c r="L24" s="59">
        <f>SUM(L25:L26)</f>
        <v>45503</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79264</v>
      </c>
      <c r="L26" s="60">
        <v>45503</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c r="L28" s="60">
        <v>30619</v>
      </c>
    </row>
    <row r="29" spans="1:12" s="3" customFormat="1" ht="13.5" customHeight="1">
      <c r="A29" s="488" t="s">
        <v>53</v>
      </c>
      <c r="B29" s="489"/>
      <c r="C29" s="489"/>
      <c r="D29" s="489"/>
      <c r="E29" s="489"/>
      <c r="F29" s="489"/>
      <c r="G29" s="489"/>
      <c r="H29" s="490"/>
      <c r="I29" s="4">
        <v>131</v>
      </c>
      <c r="J29" s="8"/>
      <c r="K29" s="59">
        <f>SUM(K30:K34)</f>
        <v>118473</v>
      </c>
      <c r="L29" s="59">
        <f>SUM(L30:L34)</f>
        <v>221557</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v>118473</v>
      </c>
      <c r="L31" s="60">
        <v>221557</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125948</v>
      </c>
      <c r="L35" s="59">
        <f>SUM(L36:L39)</f>
        <v>181286</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125948</v>
      </c>
      <c r="L37" s="60">
        <v>181286</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row>
    <row r="43" spans="1:12" s="3" customFormat="1" ht="13.5" customHeight="1">
      <c r="A43" s="488" t="s">
        <v>81</v>
      </c>
      <c r="B43" s="489"/>
      <c r="C43" s="489"/>
      <c r="D43" s="489"/>
      <c r="E43" s="489"/>
      <c r="F43" s="489"/>
      <c r="G43" s="489"/>
      <c r="H43" s="490"/>
      <c r="I43" s="4">
        <v>145</v>
      </c>
      <c r="J43" s="8"/>
      <c r="K43" s="60"/>
      <c r="L43" s="60">
        <v>6410</v>
      </c>
    </row>
    <row r="44" spans="1:12" s="3" customFormat="1" ht="13.5" customHeight="1">
      <c r="A44" s="488" t="s">
        <v>55</v>
      </c>
      <c r="B44" s="489"/>
      <c r="C44" s="489"/>
      <c r="D44" s="489"/>
      <c r="E44" s="489"/>
      <c r="F44" s="489"/>
      <c r="G44" s="489"/>
      <c r="H44" s="490"/>
      <c r="I44" s="4">
        <v>146</v>
      </c>
      <c r="J44" s="8"/>
      <c r="K44" s="59">
        <f>K9+K29+K40+K42</f>
        <v>22949025</v>
      </c>
      <c r="L44" s="59">
        <f>L9+L29+L40+L42</f>
        <v>28137274</v>
      </c>
    </row>
    <row r="45" spans="1:12" s="3" customFormat="1" ht="13.5" customHeight="1">
      <c r="A45" s="488" t="s">
        <v>56</v>
      </c>
      <c r="B45" s="489"/>
      <c r="C45" s="489"/>
      <c r="D45" s="489"/>
      <c r="E45" s="489"/>
      <c r="F45" s="489"/>
      <c r="G45" s="489"/>
      <c r="H45" s="490"/>
      <c r="I45" s="4">
        <v>147</v>
      </c>
      <c r="J45" s="8"/>
      <c r="K45" s="59">
        <f>K12+K35+K41+K43</f>
        <v>21743369</v>
      </c>
      <c r="L45" s="59">
        <f>L12+L35+L41+L43</f>
        <v>26027700</v>
      </c>
    </row>
    <row r="46" spans="1:12" s="3" customFormat="1" ht="13.5" customHeight="1">
      <c r="A46" s="488" t="s">
        <v>1825</v>
      </c>
      <c r="B46" s="489"/>
      <c r="C46" s="489"/>
      <c r="D46" s="489"/>
      <c r="E46" s="489"/>
      <c r="F46" s="489"/>
      <c r="G46" s="489"/>
      <c r="H46" s="490"/>
      <c r="I46" s="4">
        <v>148</v>
      </c>
      <c r="J46" s="8"/>
      <c r="K46" s="59">
        <f>K44-K45</f>
        <v>1205656</v>
      </c>
      <c r="L46" s="59">
        <f>L44-L45</f>
        <v>2109574</v>
      </c>
    </row>
    <row r="47" spans="1:12" s="3" customFormat="1" ht="13.5" customHeight="1">
      <c r="A47" s="485" t="s">
        <v>58</v>
      </c>
      <c r="B47" s="486"/>
      <c r="C47" s="486"/>
      <c r="D47" s="486"/>
      <c r="E47" s="486"/>
      <c r="F47" s="486"/>
      <c r="G47" s="486"/>
      <c r="H47" s="487"/>
      <c r="I47" s="4">
        <v>149</v>
      </c>
      <c r="J47" s="8"/>
      <c r="K47" s="59">
        <f>IF(K44&gt;K45,K44-K45,0)</f>
        <v>1205656</v>
      </c>
      <c r="L47" s="59">
        <f>IF(L44&gt;L45,L44-L45,0)</f>
        <v>2109574</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40012</v>
      </c>
      <c r="L49" s="60">
        <v>116660</v>
      </c>
    </row>
    <row r="50" spans="1:12" s="3" customFormat="1" ht="13.5" customHeight="1">
      <c r="A50" s="488" t="s">
        <v>1826</v>
      </c>
      <c r="B50" s="489"/>
      <c r="C50" s="489"/>
      <c r="D50" s="489"/>
      <c r="E50" s="489"/>
      <c r="F50" s="489"/>
      <c r="G50" s="489"/>
      <c r="H50" s="490"/>
      <c r="I50" s="4">
        <v>152</v>
      </c>
      <c r="J50" s="8"/>
      <c r="K50" s="59">
        <f>K46-K49</f>
        <v>1165644</v>
      </c>
      <c r="L50" s="59">
        <f>L46-L49</f>
        <v>1992914</v>
      </c>
    </row>
    <row r="51" spans="1:12" s="3" customFormat="1" ht="13.5" customHeight="1">
      <c r="A51" s="485" t="s">
        <v>1021</v>
      </c>
      <c r="B51" s="486"/>
      <c r="C51" s="486"/>
      <c r="D51" s="486"/>
      <c r="E51" s="486"/>
      <c r="F51" s="486"/>
      <c r="G51" s="486"/>
      <c r="H51" s="487"/>
      <c r="I51" s="4">
        <v>153</v>
      </c>
      <c r="J51" s="8"/>
      <c r="K51" s="59">
        <f>IF(K50&gt;0,K50,0)</f>
        <v>1165644</v>
      </c>
      <c r="L51" s="59">
        <f>IF(L50&gt;0,L50,0)</f>
        <v>1992914</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55232800223; VODOOPSKRBA I ODVODNJA CRES LOŠINJ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55232800223; VODOOPSKRBA I ODVODNJA CRES LOŠINJ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55232800223; VODOOPSKRBA I ODVODNJA CRES LOŠINJ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Elijana Budimir</cp:lastModifiedBy>
  <cp:lastPrinted>2014-01-24T08:56:05Z</cp:lastPrinted>
  <dcterms:created xsi:type="dcterms:W3CDTF">2008-10-17T11:51:54Z</dcterms:created>
  <dcterms:modified xsi:type="dcterms:W3CDTF">2016-05-30T09:33:28Z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